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7905" tabRatio="637" activeTab="0"/>
  </bookViews>
  <sheets>
    <sheet name="Grand Totals" sheetId="1" r:id="rId1"/>
    <sheet name="Electricity" sheetId="2" r:id="rId2"/>
    <sheet name="Stationary Combustion" sheetId="3" r:id="rId3"/>
    <sheet name="Mobile Sources" sheetId="4" r:id="rId4"/>
    <sheet name="Emission factors" sheetId="5" r:id="rId5"/>
  </sheets>
  <definedNames>
    <definedName name="eGRID">'Emission factors'!$A$4:$A$36</definedName>
  </definedNames>
  <calcPr fullCalcOnLoad="1"/>
</workbook>
</file>

<file path=xl/comments2.xml><?xml version="1.0" encoding="utf-8"?>
<comments xmlns="http://schemas.openxmlformats.org/spreadsheetml/2006/main">
  <authors>
    <author>Eric Christensen</author>
    <author> Katie Smith</author>
  </authors>
  <commentList>
    <comment ref="E9" authorId="0">
      <text>
        <r>
          <rPr>
            <b/>
            <sz val="8"/>
            <rFont val="Tahoma"/>
            <family val="2"/>
          </rPr>
          <t>Eric Christensen:</t>
        </r>
        <r>
          <rPr>
            <sz val="8"/>
            <rFont val="Tahoma"/>
            <family val="2"/>
          </rPr>
          <t xml:space="preserve">
Closed in 2001</t>
        </r>
      </text>
    </comment>
    <comment ref="E10" authorId="0">
      <text>
        <r>
          <rPr>
            <b/>
            <sz val="8"/>
            <rFont val="Tahoma"/>
            <family val="2"/>
          </rPr>
          <t>Eric Christensen:</t>
        </r>
        <r>
          <rPr>
            <sz val="8"/>
            <rFont val="Tahoma"/>
            <family val="2"/>
          </rPr>
          <t xml:space="preserve">
Closed in 2001</t>
        </r>
      </text>
    </comment>
    <comment ref="E11" authorId="0">
      <text>
        <r>
          <rPr>
            <b/>
            <sz val="8"/>
            <rFont val="Tahoma"/>
            <family val="2"/>
          </rPr>
          <t>Eric Christensen:</t>
        </r>
        <r>
          <rPr>
            <sz val="8"/>
            <rFont val="Tahoma"/>
            <family val="2"/>
          </rPr>
          <t xml:space="preserve">
Closed in 2001</t>
        </r>
      </text>
    </comment>
    <comment ref="E17" authorId="1">
      <text>
        <r>
          <rPr>
            <b/>
            <sz val="8"/>
            <rFont val="Tahoma"/>
            <family val="2"/>
          </rPr>
          <t xml:space="preserve"> Katie Smith:</t>
        </r>
        <r>
          <rPr>
            <sz val="8"/>
            <rFont val="Tahoma"/>
            <family val="2"/>
          </rPr>
          <t xml:space="preserve">
This office opened in Sept 2010 (Nov data is for Sept and Oct) see email from Rong.</t>
        </r>
      </text>
    </comment>
  </commentList>
</comments>
</file>

<file path=xl/comments3.xml><?xml version="1.0" encoding="utf-8"?>
<comments xmlns="http://schemas.openxmlformats.org/spreadsheetml/2006/main">
  <authors>
    <author>Eric Christensen</author>
  </authors>
  <commentList>
    <comment ref="C4" authorId="0">
      <text>
        <r>
          <rPr>
            <b/>
            <sz val="8"/>
            <rFont val="Tahoma"/>
            <family val="2"/>
          </rPr>
          <t>Eric Christensen:</t>
        </r>
        <r>
          <rPr>
            <sz val="8"/>
            <rFont val="Tahoma"/>
            <family val="2"/>
          </rPr>
          <t xml:space="preserve">
Source: Climate Leaders Stationary Combustion Guidance, Table B-3</t>
        </r>
      </text>
    </comment>
    <comment ref="G4" authorId="0">
      <text>
        <r>
          <rPr>
            <b/>
            <sz val="8"/>
            <rFont val="Tahoma"/>
            <family val="2"/>
          </rPr>
          <t>Eric Christensen:</t>
        </r>
        <r>
          <rPr>
            <sz val="8"/>
            <rFont val="Tahoma"/>
            <family val="2"/>
          </rPr>
          <t xml:space="preserve">
Source: Climate Leaders Stationary Combustion Guidance, Table B-3</t>
        </r>
      </text>
    </comment>
    <comment ref="D4" authorId="0">
      <text>
        <r>
          <rPr>
            <b/>
            <sz val="8"/>
            <rFont val="Tahoma"/>
            <family val="2"/>
          </rPr>
          <t>Eric Christensen:</t>
        </r>
        <r>
          <rPr>
            <sz val="8"/>
            <rFont val="Tahoma"/>
            <family val="2"/>
          </rPr>
          <t xml:space="preserve">
Source: Climate Leaders Stationary Combustion Guidance, Table A-1</t>
        </r>
      </text>
    </comment>
    <comment ref="E4" authorId="0">
      <text>
        <r>
          <rPr>
            <b/>
            <sz val="8"/>
            <rFont val="Tahoma"/>
            <family val="2"/>
          </rPr>
          <t>Eric Christensen:</t>
        </r>
        <r>
          <rPr>
            <sz val="8"/>
            <rFont val="Tahoma"/>
            <family val="2"/>
          </rPr>
          <t xml:space="preserve">
Source: Climate Leaders Stationary Combustion Guidance, Table A-1</t>
        </r>
      </text>
    </comment>
    <comment ref="C13" authorId="0">
      <text>
        <r>
          <rPr>
            <b/>
            <sz val="8"/>
            <rFont val="Tahoma"/>
            <family val="2"/>
          </rPr>
          <t>Eric Christensen:</t>
        </r>
        <r>
          <rPr>
            <sz val="8"/>
            <rFont val="Tahoma"/>
            <family val="2"/>
          </rPr>
          <t xml:space="preserve">
Closed in 2001</t>
        </r>
      </text>
    </comment>
    <comment ref="C14" authorId="0">
      <text>
        <r>
          <rPr>
            <b/>
            <sz val="8"/>
            <rFont val="Tahoma"/>
            <family val="2"/>
          </rPr>
          <t>Eric Christensen:</t>
        </r>
        <r>
          <rPr>
            <sz val="8"/>
            <rFont val="Tahoma"/>
            <family val="2"/>
          </rPr>
          <t xml:space="preserve">
Closed in 2001</t>
        </r>
      </text>
    </comment>
    <comment ref="C15" authorId="0">
      <text>
        <r>
          <rPr>
            <b/>
            <sz val="8"/>
            <rFont val="Tahoma"/>
            <family val="2"/>
          </rPr>
          <t>Eric Christensen:</t>
        </r>
        <r>
          <rPr>
            <sz val="8"/>
            <rFont val="Tahoma"/>
            <family val="2"/>
          </rPr>
          <t xml:space="preserve">
Closed in 2001</t>
        </r>
      </text>
    </comment>
    <comment ref="E12" authorId="0">
      <text>
        <r>
          <rPr>
            <b/>
            <sz val="8"/>
            <rFont val="Tahoma"/>
            <family val="2"/>
          </rPr>
          <t>Eric Christensen:</t>
        </r>
        <r>
          <rPr>
            <sz val="8"/>
            <rFont val="Tahoma"/>
            <family val="2"/>
          </rPr>
          <t xml:space="preserve">
2005 value, keep constant in future</t>
        </r>
      </text>
    </comment>
    <comment ref="C16" authorId="0">
      <text>
        <r>
          <rPr>
            <b/>
            <sz val="8"/>
            <rFont val="Tahoma"/>
            <family val="2"/>
          </rPr>
          <t>WSP:</t>
        </r>
        <r>
          <rPr>
            <sz val="8"/>
            <rFont val="Tahoma"/>
            <family val="2"/>
          </rPr>
          <t xml:space="preserve">
31,310 ccf
</t>
        </r>
      </text>
    </comment>
    <comment ref="C18" authorId="0">
      <text>
        <r>
          <rPr>
            <b/>
            <sz val="8"/>
            <rFont val="Tahoma"/>
            <family val="2"/>
          </rPr>
          <t>WSP:</t>
        </r>
        <r>
          <rPr>
            <sz val="8"/>
            <rFont val="Tahoma"/>
            <family val="2"/>
          </rPr>
          <t xml:space="preserve">
814.3 cubic meters of gas, times 35.3 ft3/m3, times heat content</t>
        </r>
      </text>
    </comment>
    <comment ref="E18" authorId="0">
      <text>
        <r>
          <rPr>
            <b/>
            <sz val="8"/>
            <rFont val="Tahoma"/>
            <family val="2"/>
          </rPr>
          <t>WSP:</t>
        </r>
        <r>
          <rPr>
            <sz val="8"/>
            <rFont val="Tahoma"/>
            <family val="2"/>
          </rPr>
          <t xml:space="preserve">
47,800 liters</t>
        </r>
      </text>
    </comment>
    <comment ref="C17" authorId="0">
      <text>
        <r>
          <rPr>
            <b/>
            <sz val="8"/>
            <rFont val="Tahoma"/>
            <family val="2"/>
          </rPr>
          <t>WSP:</t>
        </r>
        <r>
          <rPr>
            <sz val="8"/>
            <rFont val="Tahoma"/>
            <family val="2"/>
          </rPr>
          <t xml:space="preserve">
18,669 cubic meters of gas, times 35.3 ft3/m3, times heat content</t>
        </r>
      </text>
    </comment>
    <comment ref="E11" authorId="0">
      <text>
        <r>
          <rPr>
            <b/>
            <sz val="8"/>
            <rFont val="Tahoma"/>
            <family val="2"/>
          </rPr>
          <t>Eric Christensen:</t>
        </r>
        <r>
          <rPr>
            <sz val="8"/>
            <rFont val="Tahoma"/>
            <family val="2"/>
          </rPr>
          <t xml:space="preserve">
2005 value, keep constant in future</t>
        </r>
      </text>
    </comment>
  </commentList>
</comments>
</file>

<file path=xl/comments4.xml><?xml version="1.0" encoding="utf-8"?>
<comments xmlns="http://schemas.openxmlformats.org/spreadsheetml/2006/main">
  <authors>
    <author>Eric Christensen</author>
    <author>Brennen Walsh</author>
  </authors>
  <commentList>
    <comment ref="D4" authorId="0">
      <text>
        <r>
          <rPr>
            <b/>
            <sz val="8"/>
            <rFont val="Tahoma"/>
            <family val="2"/>
          </rPr>
          <t>Eric Christensen:</t>
        </r>
        <r>
          <rPr>
            <sz val="8"/>
            <rFont val="Tahoma"/>
            <family val="2"/>
          </rPr>
          <t xml:space="preserve">
Climate Leaders Mobile Sources Guidance, Table 5</t>
        </r>
      </text>
    </comment>
    <comment ref="D5" authorId="0">
      <text>
        <r>
          <rPr>
            <b/>
            <sz val="8"/>
            <rFont val="Tahoma"/>
            <family val="2"/>
          </rPr>
          <t>Eric Christensen:</t>
        </r>
        <r>
          <rPr>
            <sz val="8"/>
            <rFont val="Tahoma"/>
            <family val="2"/>
          </rPr>
          <t xml:space="preserve">
Climate Leaders Mobile Sources Guidance, Table 5</t>
        </r>
      </text>
    </comment>
    <comment ref="I8" authorId="0">
      <text>
        <r>
          <rPr>
            <b/>
            <sz val="8"/>
            <rFont val="Tahoma"/>
            <family val="2"/>
          </rPr>
          <t>Eric Christensen:</t>
        </r>
        <r>
          <rPr>
            <sz val="8"/>
            <rFont val="Tahoma"/>
            <family val="2"/>
          </rPr>
          <t xml:space="preserve">
Climate Leaders Mobile Sources Guidance, Table 3</t>
        </r>
      </text>
    </comment>
    <comment ref="K8" authorId="0">
      <text>
        <r>
          <rPr>
            <b/>
            <sz val="8"/>
            <rFont val="Tahoma"/>
            <family val="2"/>
          </rPr>
          <t>Eric Christensen:</t>
        </r>
        <r>
          <rPr>
            <sz val="8"/>
            <rFont val="Tahoma"/>
            <family val="2"/>
          </rPr>
          <t xml:space="preserve">
Climate Leaders Mobile Sources Guidance, Table 3</t>
        </r>
      </text>
    </comment>
    <comment ref="F9" authorId="0">
      <text>
        <r>
          <rPr>
            <b/>
            <sz val="8"/>
            <rFont val="Tahoma"/>
            <family val="2"/>
          </rPr>
          <t>Eric Christensen:</t>
        </r>
        <r>
          <rPr>
            <sz val="8"/>
            <rFont val="Tahoma"/>
            <family val="2"/>
          </rPr>
          <t xml:space="preserve">
Toyota Sienna, assumed 1999.  fueleconomy.gov</t>
        </r>
      </text>
    </comment>
    <comment ref="F11" authorId="0">
      <text>
        <r>
          <rPr>
            <b/>
            <sz val="8"/>
            <rFont val="Tahoma"/>
            <family val="2"/>
          </rPr>
          <t xml:space="preserve">Eric Christensen
</t>
        </r>
        <r>
          <rPr>
            <sz val="8"/>
            <rFont val="Tahoma"/>
            <family val="2"/>
          </rPr>
          <t>For typical recent model Lexus</t>
        </r>
      </text>
    </comment>
    <comment ref="F10" authorId="0">
      <text>
        <r>
          <rPr>
            <b/>
            <sz val="8"/>
            <rFont val="Tahoma"/>
            <family val="2"/>
          </rPr>
          <t xml:space="preserve">Eric Christensen
</t>
        </r>
        <r>
          <rPr>
            <sz val="8"/>
            <rFont val="Tahoma"/>
            <family val="2"/>
          </rPr>
          <t>Estimated</t>
        </r>
      </text>
    </comment>
    <comment ref="I16" authorId="1">
      <text>
        <r>
          <rPr>
            <b/>
            <sz val="8"/>
            <rFont val="Tahoma"/>
            <family val="2"/>
          </rPr>
          <t>Brennen Walsh:</t>
        </r>
        <r>
          <rPr>
            <sz val="8"/>
            <rFont val="Tahoma"/>
            <family val="2"/>
          </rPr>
          <t xml:space="preserve">
2005 Van</t>
        </r>
      </text>
    </comment>
    <comment ref="K16" authorId="1">
      <text>
        <r>
          <rPr>
            <b/>
            <sz val="8"/>
            <rFont val="Tahoma"/>
            <family val="2"/>
          </rPr>
          <t>Brennen Walsh:</t>
        </r>
        <r>
          <rPr>
            <sz val="8"/>
            <rFont val="Tahoma"/>
            <family val="2"/>
          </rPr>
          <t xml:space="preserve">
2005 Van</t>
        </r>
      </text>
    </comment>
    <comment ref="I17" authorId="1">
      <text>
        <r>
          <rPr>
            <b/>
            <sz val="8"/>
            <rFont val="Tahoma"/>
            <family val="2"/>
          </rPr>
          <t>Brennen Walsh:</t>
        </r>
        <r>
          <rPr>
            <sz val="8"/>
            <rFont val="Tahoma"/>
            <family val="2"/>
          </rPr>
          <t xml:space="preserve">
2004 Van</t>
        </r>
      </text>
    </comment>
    <comment ref="K17" authorId="1">
      <text>
        <r>
          <rPr>
            <b/>
            <sz val="8"/>
            <rFont val="Tahoma"/>
            <family val="2"/>
          </rPr>
          <t>Brennen Walsh:</t>
        </r>
        <r>
          <rPr>
            <sz val="8"/>
            <rFont val="Tahoma"/>
            <family val="2"/>
          </rPr>
          <t xml:space="preserve">
2004 Van</t>
        </r>
      </text>
    </comment>
    <comment ref="D6" authorId="0">
      <text>
        <r>
          <rPr>
            <b/>
            <sz val="8"/>
            <rFont val="Tahoma"/>
            <family val="2"/>
          </rPr>
          <t>Eric Christensen:</t>
        </r>
        <r>
          <rPr>
            <sz val="8"/>
            <rFont val="Tahoma"/>
            <family val="2"/>
          </rPr>
          <t xml:space="preserve">
Climate Leaders Mobile Sources Guidance, Table B-3</t>
        </r>
      </text>
    </comment>
    <comment ref="E16" authorId="1">
      <text>
        <r>
          <rPr>
            <b/>
            <sz val="8"/>
            <rFont val="Tahoma"/>
            <family val="2"/>
          </rPr>
          <t>Brennen Walsh:</t>
        </r>
        <r>
          <rPr>
            <sz val="8"/>
            <rFont val="Tahoma"/>
            <family val="2"/>
          </rPr>
          <t xml:space="preserve">
Conversion km to miles</t>
        </r>
      </text>
    </comment>
    <comment ref="G16" authorId="1">
      <text>
        <r>
          <rPr>
            <b/>
            <sz val="8"/>
            <rFont val="Tahoma"/>
            <family val="2"/>
          </rPr>
          <t>Brennen Walsh:</t>
        </r>
        <r>
          <rPr>
            <sz val="8"/>
            <rFont val="Tahoma"/>
            <family val="2"/>
          </rPr>
          <t xml:space="preserve">
Conversion from liters to gal</t>
        </r>
      </text>
    </comment>
    <comment ref="E17" authorId="1">
      <text>
        <r>
          <rPr>
            <b/>
            <sz val="8"/>
            <rFont val="Tahoma"/>
            <family val="2"/>
          </rPr>
          <t>Brennen Walsh:</t>
        </r>
        <r>
          <rPr>
            <sz val="8"/>
            <rFont val="Tahoma"/>
            <family val="2"/>
          </rPr>
          <t xml:space="preserve">
Conversion km to miles</t>
        </r>
      </text>
    </comment>
    <comment ref="G17" authorId="1">
      <text>
        <r>
          <rPr>
            <b/>
            <sz val="8"/>
            <rFont val="Tahoma"/>
            <family val="2"/>
          </rPr>
          <t>Brennen Walsh:</t>
        </r>
        <r>
          <rPr>
            <sz val="8"/>
            <rFont val="Tahoma"/>
            <family val="2"/>
          </rPr>
          <t xml:space="preserve">
Conversion from liters to gal</t>
        </r>
      </text>
    </comment>
    <comment ref="A16" authorId="0">
      <text>
        <r>
          <rPr>
            <b/>
            <sz val="8"/>
            <rFont val="Tahoma"/>
            <family val="2"/>
          </rPr>
          <t>WSP:</t>
        </r>
        <r>
          <rPr>
            <sz val="8"/>
            <rFont val="Tahoma"/>
            <family val="2"/>
          </rPr>
          <t xml:space="preserve">
Assumed to be the same as 2008.</t>
        </r>
      </text>
    </comment>
    <comment ref="A17" authorId="0">
      <text>
        <r>
          <rPr>
            <b/>
            <sz val="8"/>
            <rFont val="Tahoma"/>
            <family val="2"/>
          </rPr>
          <t>WSP:</t>
        </r>
        <r>
          <rPr>
            <sz val="8"/>
            <rFont val="Tahoma"/>
            <family val="2"/>
          </rPr>
          <t xml:space="preserve">
Assumed to be the same as 2008.</t>
        </r>
      </text>
    </comment>
  </commentList>
</comments>
</file>

<file path=xl/sharedStrings.xml><?xml version="1.0" encoding="utf-8"?>
<sst xmlns="http://schemas.openxmlformats.org/spreadsheetml/2006/main" count="408" uniqueCount="216">
  <si>
    <t>Shaklee Taiwan</t>
  </si>
  <si>
    <t>Total</t>
  </si>
  <si>
    <t>Japan</t>
  </si>
  <si>
    <t>Shaklee Japan Offices</t>
  </si>
  <si>
    <t>Shaklee Japan Manufacturing</t>
  </si>
  <si>
    <t xml:space="preserve">CH4/N2O: International Electricity Emission Factors by Country, 1999-2002.xls.  </t>
  </si>
  <si>
    <t>Country</t>
  </si>
  <si>
    <t>Shaklee Total Emissions Summary - Including International Facilities</t>
  </si>
  <si>
    <t>Mileage</t>
  </si>
  <si>
    <t>Shaklee China Manufacture</t>
  </si>
  <si>
    <t>Shaklee China Office &amp; Store</t>
  </si>
  <si>
    <t>NPCC Long Island </t>
  </si>
  <si>
    <t>NYUP</t>
  </si>
  <si>
    <t>NPCC Upstate NY </t>
  </si>
  <si>
    <t>RFCE</t>
  </si>
  <si>
    <t>RFC East </t>
  </si>
  <si>
    <t>RFCM</t>
  </si>
  <si>
    <t>RFC Michigan </t>
  </si>
  <si>
    <t>RFCW</t>
  </si>
  <si>
    <t>RFC West </t>
  </si>
  <si>
    <t>RMPA</t>
  </si>
  <si>
    <t>WECC Rockies </t>
  </si>
  <si>
    <t>SPNO</t>
  </si>
  <si>
    <t>SPP North </t>
  </si>
  <si>
    <t>SPSO</t>
  </si>
  <si>
    <t>SPP South </t>
  </si>
  <si>
    <t>SRMV</t>
  </si>
  <si>
    <t>SERC Mississippi Valley </t>
  </si>
  <si>
    <t>SRMW</t>
  </si>
  <si>
    <t>SERC Midwest </t>
  </si>
  <si>
    <t>SRSO</t>
  </si>
  <si>
    <t>SERC South </t>
  </si>
  <si>
    <t>SRTV</t>
  </si>
  <si>
    <t>SERC Tennessee Valley </t>
  </si>
  <si>
    <t>SRVC</t>
  </si>
  <si>
    <t>US Average</t>
  </si>
  <si>
    <t>Renewable Project</t>
  </si>
  <si>
    <t>Total emissions</t>
  </si>
  <si>
    <t>Reductions from green power</t>
  </si>
  <si>
    <t>Net emissions</t>
  </si>
  <si>
    <t>Green Power</t>
  </si>
  <si>
    <t xml:space="preserve">CO2 Reductions (metric t CO2) </t>
  </si>
  <si>
    <t xml:space="preserve">CH4 Reductions (kg CH4) </t>
  </si>
  <si>
    <t xml:space="preserve">N2O Reductions (kg N2O) </t>
  </si>
  <si>
    <t xml:space="preserve">CH4 Emissions (kg CH4) </t>
  </si>
  <si>
    <t xml:space="preserve">N2O Emissions (kg N2O) </t>
  </si>
  <si>
    <t>Year</t>
  </si>
  <si>
    <t>Reductions from direct offsets</t>
  </si>
  <si>
    <t>See discussion below.</t>
  </si>
  <si>
    <t>Offsets:</t>
  </si>
  <si>
    <t>Green power purchased</t>
  </si>
  <si>
    <t>kWh</t>
  </si>
  <si>
    <t xml:space="preserve">CO2 Emissions (t CO2) </t>
  </si>
  <si>
    <t>t CO2e</t>
  </si>
  <si>
    <t>so the reduction cannot be greater than electricity emissions.</t>
  </si>
  <si>
    <t>Canada</t>
  </si>
  <si>
    <t>China</t>
  </si>
  <si>
    <t>Malaysia</t>
  </si>
  <si>
    <t>Taiwan</t>
  </si>
  <si>
    <t>Mexico</t>
  </si>
  <si>
    <t>Non-US</t>
  </si>
  <si>
    <t>Shaklee Canada</t>
  </si>
  <si>
    <t>State / Province</t>
  </si>
  <si>
    <t>Ontario</t>
  </si>
  <si>
    <t>Beijing</t>
  </si>
  <si>
    <t>US</t>
  </si>
  <si>
    <t>GM Shanghai Buick mpv</t>
  </si>
  <si>
    <t>Shaklee Malaysia</t>
  </si>
  <si>
    <t>Selangor Darul Ehsan</t>
  </si>
  <si>
    <t>LPG / Propane</t>
  </si>
  <si>
    <t>Shaklee Mexico</t>
  </si>
  <si>
    <t>DF</t>
  </si>
  <si>
    <t>LPG/Propane</t>
  </si>
  <si>
    <t>CO2 Emission Factor (kg CO2/MMBtu)</t>
  </si>
  <si>
    <r>
      <t>lb CO</t>
    </r>
    <r>
      <rPr>
        <b/>
        <vertAlign val="subscript"/>
        <sz val="9"/>
        <rFont val="Arial"/>
        <family val="2"/>
      </rPr>
      <t>2</t>
    </r>
    <r>
      <rPr>
        <b/>
        <sz val="9"/>
        <rFont val="Arial"/>
        <family val="2"/>
      </rPr>
      <t>/ MWh</t>
    </r>
  </si>
  <si>
    <r>
      <t>lb CH</t>
    </r>
    <r>
      <rPr>
        <b/>
        <vertAlign val="subscript"/>
        <sz val="9"/>
        <rFont val="Arial"/>
        <family val="2"/>
      </rPr>
      <t>4</t>
    </r>
    <r>
      <rPr>
        <b/>
        <sz val="9"/>
        <rFont val="Arial"/>
        <family val="2"/>
      </rPr>
      <t>/ MWh</t>
    </r>
  </si>
  <si>
    <r>
      <t>lb N</t>
    </r>
    <r>
      <rPr>
        <b/>
        <vertAlign val="subscript"/>
        <sz val="9"/>
        <rFont val="Arial"/>
        <family val="2"/>
      </rPr>
      <t>2</t>
    </r>
    <r>
      <rPr>
        <b/>
        <sz val="9"/>
        <rFont val="Arial"/>
        <family val="2"/>
      </rPr>
      <t>O/ MWh</t>
    </r>
  </si>
  <si>
    <t>eGRID Emission Rates</t>
  </si>
  <si>
    <t>lb CO2/
MWh</t>
  </si>
  <si>
    <t>lb CH4/
MWh</t>
  </si>
  <si>
    <t>lb N2O/
MWh</t>
  </si>
  <si>
    <t>Emissions Source</t>
  </si>
  <si>
    <t>Electricity</t>
  </si>
  <si>
    <t>Stationary combustion</t>
  </si>
  <si>
    <t>Mobile sources</t>
  </si>
  <si>
    <t>CH4</t>
  </si>
  <si>
    <t>N2O</t>
  </si>
  <si>
    <t>CO2 Emission Factors</t>
  </si>
  <si>
    <t>Gasoline</t>
  </si>
  <si>
    <t>kg CO2/gallon</t>
  </si>
  <si>
    <t>Global warming potential</t>
  </si>
  <si>
    <t>Diesel fuel</t>
  </si>
  <si>
    <t>Com-bined MPG</t>
  </si>
  <si>
    <t xml:space="preserve">CH4 Emission Factor 
(g/mile) </t>
  </si>
  <si>
    <t xml:space="preserve">N2O Emission Factor 
(g/mile) </t>
  </si>
  <si>
    <t>Vehicle Model</t>
  </si>
  <si>
    <t>Fuel Consumed (gallons)</t>
  </si>
  <si>
    <t>Distillate Fuel Oil (#1, 2, 4)</t>
  </si>
  <si>
    <t>State</t>
  </si>
  <si>
    <t>IL</t>
  </si>
  <si>
    <t>CA</t>
  </si>
  <si>
    <t>NJ</t>
  </si>
  <si>
    <t>CH4 Emission Factor (g/MMBtu)</t>
  </si>
  <si>
    <t>N2O Emission Factor (g/MMBtu)</t>
  </si>
  <si>
    <t>Shaklee Electricity Emissions</t>
  </si>
  <si>
    <t>Shaklee Stationary Combustion Emissions</t>
  </si>
  <si>
    <t>Shaklee Mobile Sources Emissions Calculations</t>
  </si>
  <si>
    <t>MMBtu/gal HHV</t>
  </si>
  <si>
    <t>Heat Content</t>
  </si>
  <si>
    <t>Fuel Use (MMBtu)</t>
  </si>
  <si>
    <t>Fuel Use (gallons)</t>
  </si>
  <si>
    <t>Btu/cubic ft HHV</t>
  </si>
  <si>
    <t>Facility</t>
  </si>
  <si>
    <t>Purchased Electricity (kWh)</t>
  </si>
  <si>
    <t>Natural Gas</t>
  </si>
  <si>
    <t>of total</t>
  </si>
  <si>
    <t>SERC Virginia/Carolina</t>
  </si>
  <si>
    <t>eGRID Subregion</t>
  </si>
  <si>
    <t xml:space="preserve">Pleasanton Corporate Headquarters </t>
  </si>
  <si>
    <t>Hayward Research Facility</t>
  </si>
  <si>
    <t>La Palma Distribution Center, LA</t>
  </si>
  <si>
    <t xml:space="preserve">Bedford Distribution Center, Chicago </t>
  </si>
  <si>
    <t>Dayton Distribution Center</t>
  </si>
  <si>
    <t>Fuel Use (therms)</t>
  </si>
  <si>
    <t>Diesel Fuel</t>
  </si>
  <si>
    <t>Mail van</t>
  </si>
  <si>
    <t>Cargo van</t>
  </si>
  <si>
    <t>No refrigerant emissions.  Scott Miller reported that all facilities use CFCs or HCFCs.</t>
  </si>
  <si>
    <t>Groveport Distribution</t>
  </si>
  <si>
    <t>OH</t>
  </si>
  <si>
    <t>Infiniti</t>
  </si>
  <si>
    <t>Acura</t>
  </si>
  <si>
    <t>Code</t>
  </si>
  <si>
    <t>eGRID Subregion Name</t>
  </si>
  <si>
    <t>AKGD</t>
  </si>
  <si>
    <t>ASCC Alaska Grid </t>
  </si>
  <si>
    <t>AKMS</t>
  </si>
  <si>
    <t>ASCC Miscellaneous </t>
  </si>
  <si>
    <t>AZNM</t>
  </si>
  <si>
    <t>WECC Southwest </t>
  </si>
  <si>
    <t>CAMX</t>
  </si>
  <si>
    <t>WECC California </t>
  </si>
  <si>
    <t>ERCT</t>
  </si>
  <si>
    <t>ERCOT All </t>
  </si>
  <si>
    <t>FRCC</t>
  </si>
  <si>
    <t>FRCC All </t>
  </si>
  <si>
    <t>HIMS</t>
  </si>
  <si>
    <t>HICC Miscellaneous </t>
  </si>
  <si>
    <t>HIOA</t>
  </si>
  <si>
    <t>HICC Oahu </t>
  </si>
  <si>
    <t>MROE</t>
  </si>
  <si>
    <t>MRO East </t>
  </si>
  <si>
    <t>MROW</t>
  </si>
  <si>
    <t>MRO West </t>
  </si>
  <si>
    <t>NEWE</t>
  </si>
  <si>
    <t>NPCC New England </t>
  </si>
  <si>
    <t>NWPP</t>
  </si>
  <si>
    <t>WECC Northwest </t>
  </si>
  <si>
    <t>NYCW</t>
  </si>
  <si>
    <t>NPCC NYC/Westchester </t>
  </si>
  <si>
    <t>NYLI</t>
  </si>
  <si>
    <t>Lexus (Barnett)</t>
  </si>
  <si>
    <t>U.S. total</t>
  </si>
  <si>
    <t>Non-U.S. total</t>
  </si>
  <si>
    <t>Grand total</t>
  </si>
  <si>
    <t>Country for which RECs are purchased</t>
  </si>
  <si>
    <t>Note: Only the US values above are used for Climate Leaders reporting.  The non-US are for other Shaklee communications and internal use.</t>
  </si>
  <si>
    <t>Notes:</t>
  </si>
  <si>
    <t>US vehicle data from file: Shaklee 2009 US vehicle mileage.xls.  Notes there on changes from 2008, several vehicles had mileage reduced.</t>
  </si>
  <si>
    <t>Fuel type</t>
  </si>
  <si>
    <t>CO2e Emissions (t CO2e)</t>
  </si>
  <si>
    <t>CO2e Reductions (t CO2e)</t>
  </si>
  <si>
    <t>Shaklee China Guangzhou Office</t>
  </si>
  <si>
    <t>Guangzhou</t>
  </si>
  <si>
    <t>Ontario Canada</t>
  </si>
  <si>
    <t xml:space="preserve">       International Energy Agency, as cited by EIA for 1605b. http://www.eia.doe.gov/oiaf/1605/emission_factors.html</t>
  </si>
  <si>
    <t>Data Sources</t>
  </si>
  <si>
    <t>Other International</t>
  </si>
  <si>
    <t xml:space="preserve">Malaysia and Taiwan discontinued their vehicle programs and no longer have the cars that appeared in previous years. </t>
  </si>
  <si>
    <t>Year 2007 eGRID Subregion Emission Factors</t>
  </si>
  <si>
    <t>Canada: "National Inventory Report 1990-2008", Annex 9. Year 2008 factors.</t>
  </si>
  <si>
    <t xml:space="preserve">CO2 Emissions from Fuel Combustion (2010 Edition), IEA, Paris.  This is primarily an excerpt from the IEA file &lt;&lt;co2highlights.xls&gt;&gt;, "CO2-kWh" worksheet.  </t>
  </si>
  <si>
    <t xml:space="preserve">       This file is provided with IEA's "CO2 Emissions from Fuel Combustion - Highlights (2010 Edition)".  See http://www.iea.org/co2highlights/.</t>
  </si>
  <si>
    <t>Electric - Gas Usage.xls</t>
  </si>
  <si>
    <t>Data Source File</t>
  </si>
  <si>
    <t>China data 2010.xls</t>
  </si>
  <si>
    <t>Shaklee China Qingdao Office</t>
  </si>
  <si>
    <t>Qingdao</t>
  </si>
  <si>
    <t>Copia de Mexico data 2010.xls</t>
  </si>
  <si>
    <t>Comments</t>
  </si>
  <si>
    <t>includes data for HQ, Warehouse and CEDIS GDL locations</t>
  </si>
  <si>
    <t>Copy of Shaklee 2009 US vehicle mileage.xls</t>
  </si>
  <si>
    <t>Japan data 2010.xls</t>
  </si>
  <si>
    <t>Malaysia data 2010 (revised).xls</t>
  </si>
  <si>
    <t>Shaklee Taiwan Electricity Data_201102.xls</t>
  </si>
  <si>
    <t>Canada Data 2010.xls</t>
  </si>
  <si>
    <t>Shaklee 2010 usage report.pdf</t>
  </si>
  <si>
    <t>Shaklee 2010 usage report.pdf for Natural Gas</t>
  </si>
  <si>
    <t>Shaklee 2010 usage report.pdf and Shaklee_2010ElecUsage- Jan - Feb 2010_Hayward.pdf</t>
  </si>
  <si>
    <t>This office opened in september.  Consumption data for Sept - Nov was reported in November.  Consumption spiked in December because of increased output.</t>
  </si>
  <si>
    <t xml:space="preserve">Increased demand caused the energy use to increase from 2009. </t>
  </si>
  <si>
    <t>(Source: eGRID2010 Version 1.1, May 2011)</t>
  </si>
  <si>
    <t>Year 2007 eGRID Subregion Non-baseload Emission Factors</t>
  </si>
  <si>
    <t>IA</t>
  </si>
  <si>
    <t>FPL Energy Hancock County Wind</t>
  </si>
  <si>
    <t>Global</t>
  </si>
  <si>
    <t xml:space="preserve">*Green power can only reduce electricity emissions, </t>
  </si>
  <si>
    <t>US Eligible Reductions (t CO2e)*</t>
  </si>
  <si>
    <t>International Eligible Reductions (t CO2e)</t>
  </si>
  <si>
    <t>Note:</t>
  </si>
  <si>
    <t xml:space="preserve">If in the future green power are purchased separtely for US and International, review the 2009 inventory file for how this was tracked. </t>
  </si>
  <si>
    <r>
      <t xml:space="preserve">To offset U.S. and International direct emissions, bought from Sterling Planet 700 tCO2 from DANC Solid Waste Management Facility Landfill Gas Project.  </t>
    </r>
    <r>
      <rPr>
        <sz val="9"/>
        <color indexed="10"/>
        <rFont val="Arial"/>
        <family val="2"/>
      </rPr>
      <t>Approved by EPA on 4/28/10 (see letter &lt;&lt;approval letter to Shaklee_2009 use_28-Apr-10.pdf&gt;&gt;)</t>
    </r>
    <r>
      <rPr>
        <sz val="9"/>
        <rFont val="Arial"/>
        <family val="2"/>
      </rPr>
      <t>.</t>
    </r>
  </si>
  <si>
    <t xml:space="preserve">Offsets can only reduce direct emissions </t>
  </si>
  <si>
    <t xml:space="preserve">Green Power Partnership asks for US electricity consumption only and therefore we broke down the REC's purchased and assumed 6,000,000 kWh are purchased for the U.S. and the remianing cover international locations (2,000,000 kwh). </t>
  </si>
  <si>
    <t>2007 Non-baseload eGRID Emission Rates</t>
  </si>
  <si>
    <t>Lexus (Fleet Car)</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</si>
</sst>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 numFmtId="172" formatCode="0.0%"/>
    <numFmt numFmtId="173" formatCode="_(* #,##0.0_);_(* \(#,##0.0\);_(* &quot;-&quot;??_);_(@_)"/>
    <numFmt numFmtId="174" formatCode="_(* #,##0_);_(* \(#,##0\);_(* &quot;-&quot;??_);_(@_)"/>
    <numFmt numFmtId="175" formatCode="[Blue]General"/>
    <numFmt numFmtId="176" formatCode="#,##0.0000000000"/>
    <numFmt numFmtId="177" formatCode="&quot;Yes&quot;;&quot;Yes&quot;;&quot;No&quot;"/>
    <numFmt numFmtId="178" formatCode="&quot;True&quot;;&quot;True&quot;;&quot;False&quot;"/>
    <numFmt numFmtId="179" formatCode="&quot;On&quot;;&quot;On&quot;;&quot;Off&quot;"/>
    <numFmt numFmtId="180" formatCode="0.000000000000000000%"/>
    <numFmt numFmtId="181" formatCode="0.00000000000000000%"/>
    <numFmt numFmtId="182" formatCode="0.0000000000000000%"/>
    <numFmt numFmtId="183" formatCode="0.000000000000000%"/>
    <numFmt numFmtId="184" formatCode="0.00000000000000%"/>
    <numFmt numFmtId="185" formatCode="0.0000000000000%"/>
    <numFmt numFmtId="186" formatCode="0.000%"/>
    <numFmt numFmtId="187" formatCode="0.0000%"/>
    <numFmt numFmtId="188" formatCode="0_)"/>
    <numFmt numFmtId="189" formatCode="0.0_)"/>
    <numFmt numFmtId="190" formatCode="0.00_)"/>
    <numFmt numFmtId="191" formatCode="0.000_)"/>
    <numFmt numFmtId="192" formatCode="#,##0.000"/>
    <numFmt numFmtId="193" formatCode="#,##0.0000"/>
    <numFmt numFmtId="194" formatCode="#,##0.00000"/>
    <numFmt numFmtId="195" formatCode="#,##0.000000"/>
    <numFmt numFmtId="196" formatCode="&quot;$&quot;#,##0"/>
    <numFmt numFmtId="197" formatCode="&quot;$&quot;#,##0.0"/>
    <numFmt numFmtId="198" formatCode="&quot;$&quot;#,##0.00"/>
    <numFmt numFmtId="199" formatCode="0.0E+00"/>
    <numFmt numFmtId="200" formatCode="0.000000000"/>
    <numFmt numFmtId="201" formatCode="0.000E+00"/>
    <numFmt numFmtId="202" formatCode="0.00\ &quot;g/gal&quot;"/>
    <numFmt numFmtId="203" formatCode="[$-409]dd\-mmm\-yy;@"/>
    <numFmt numFmtId="204" formatCode="0.00000E+00"/>
    <numFmt numFmtId="205" formatCode="#,##0.0000000"/>
    <numFmt numFmtId="206" formatCode="&quot;$&quot;#,##0\ ;\(&quot;$&quot;#,##0\)"/>
    <numFmt numFmtId="207" formatCode="#,##0_)"/>
    <numFmt numFmtId="208" formatCode="###0.00_)"/>
    <numFmt numFmtId="209" formatCode="0.0_W"/>
    <numFmt numFmtId="210" formatCode="#\ ###\ ##0;\-#\ ###\ ##0;\-"/>
    <numFmt numFmtId="211" formatCode="#\ ###\ ##0;\-#\ ###\ ##0;\-\-"/>
    <numFmt numFmtId="212" formatCode="&quot;\&quot;#,##0;[Red]&quot;\&quot;\-#,##0"/>
    <numFmt numFmtId="213" formatCode="&quot;\&quot;#,##0.00;[Red]&quot;\&quot;\-#,##0.00"/>
    <numFmt numFmtId="214" formatCode="#,##0;[Red]#,##0"/>
    <numFmt numFmtId="215" formatCode="#,##0.0_ "/>
    <numFmt numFmtId="216" formatCode="#,##0.0;[Red]\-#,##0.0"/>
    <numFmt numFmtId="217" formatCode="[$€-2]\ #,##0.00_);[Red]\([$€-2]\ #,##0.00\)"/>
    <numFmt numFmtId="218" formatCode="#,##0.0_);[Red]\(#,##0.0\)"/>
    <numFmt numFmtId="219" formatCode="#,##0.0;[Red]#,##0.0"/>
    <numFmt numFmtId="220" formatCode="[$-409]dddd\,\ mmmm\ dd\,\ yyyy"/>
    <numFmt numFmtId="221" formatCode="[$-409]h:mm:ss\ AM/PM"/>
  </numFmts>
  <fonts count="70">
    <font>
      <sz val="10"/>
      <name val="Arial"/>
      <family val="0"/>
    </font>
    <font>
      <b/>
      <sz val="10"/>
      <name val="Arial"/>
      <family val="2"/>
    </font>
    <font>
      <b/>
      <sz val="10"/>
      <color indexed="12"/>
      <name val="Arial"/>
      <family val="2"/>
    </font>
    <font>
      <b/>
      <sz val="9"/>
      <name val="Arial"/>
      <family val="2"/>
    </font>
    <font>
      <sz val="9"/>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11"/>
      <name val="Arial Narrow"/>
      <family val="2"/>
    </font>
    <font>
      <b/>
      <vertAlign val="subscript"/>
      <sz val="9"/>
      <name val="Arial"/>
      <family val="2"/>
    </font>
    <font>
      <sz val="11"/>
      <color indexed="8"/>
      <name val="Calibri"/>
      <family val="2"/>
    </font>
    <font>
      <sz val="9"/>
      <name val="Times New Roman"/>
      <family val="1"/>
    </font>
    <font>
      <b/>
      <sz val="9"/>
      <name val="Times New Roman"/>
      <family val="1"/>
    </font>
    <font>
      <sz val="12"/>
      <name val="Helv"/>
      <family val="0"/>
    </font>
    <font>
      <sz val="10"/>
      <color indexed="24"/>
      <name val="Arial"/>
      <family val="2"/>
    </font>
    <font>
      <b/>
      <sz val="12"/>
      <name val="Helv"/>
      <family val="0"/>
    </font>
    <font>
      <sz val="9"/>
      <name val="Helv"/>
      <family val="0"/>
    </font>
    <font>
      <vertAlign val="superscript"/>
      <sz val="12"/>
      <name val="Helv"/>
      <family val="0"/>
    </font>
    <font>
      <sz val="10"/>
      <name val="Helv"/>
      <family val="0"/>
    </font>
    <font>
      <b/>
      <sz val="12"/>
      <name val="Times New Roman"/>
      <family val="1"/>
    </font>
    <font>
      <b/>
      <sz val="9"/>
      <name val="Helv"/>
      <family val="0"/>
    </font>
    <font>
      <sz val="8.5"/>
      <name val="Helv"/>
      <family val="0"/>
    </font>
    <font>
      <b/>
      <sz val="10"/>
      <name val="Helv"/>
      <family val="0"/>
    </font>
    <font>
      <sz val="1"/>
      <name val="Arial"/>
      <family val="2"/>
    </font>
    <font>
      <sz val="8"/>
      <name val="Helvetica"/>
      <family val="2"/>
    </font>
    <font>
      <sz val="8"/>
      <name val="Helv"/>
      <family val="0"/>
    </font>
    <font>
      <b/>
      <sz val="14"/>
      <name val="Helv"/>
      <family val="0"/>
    </font>
    <font>
      <b/>
      <i/>
      <sz val="10"/>
      <name val="Arial"/>
      <family val="2"/>
    </font>
    <font>
      <b/>
      <sz val="18"/>
      <name val="Arial"/>
      <family val="2"/>
    </font>
    <font>
      <b/>
      <sz val="12"/>
      <name val="Arial"/>
      <family val="2"/>
    </font>
    <font>
      <b/>
      <sz val="12"/>
      <color indexed="12"/>
      <name val="Arial"/>
      <family val="2"/>
    </font>
    <font>
      <sz val="11"/>
      <name val="ＭＳ Ｐゴシック"/>
      <family val="2"/>
    </font>
    <font>
      <sz val="9"/>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darkTrellis"/>
    </fill>
    <fill>
      <patternFill patternType="solid">
        <fgColor indexed="22"/>
        <bgColor indexed="64"/>
      </patternFill>
    </fill>
    <fill>
      <patternFill patternType="solid">
        <fgColor indexed="9"/>
        <bgColor indexed="64"/>
      </patternFill>
    </fill>
    <fill>
      <patternFill patternType="solid">
        <fgColor rgb="FFFFFF99"/>
        <bgColor indexed="64"/>
      </patternFill>
    </fill>
  </fills>
  <borders count="40">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right style="medium"/>
      <top/>
      <bottom/>
    </border>
    <border>
      <left style="medium"/>
      <right/>
      <top/>
      <bottom style="medium"/>
    </border>
    <border>
      <left/>
      <right style="medium"/>
      <top/>
      <bottom style="medium"/>
    </border>
    <border>
      <left style="medium"/>
      <right/>
      <top style="medium"/>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49" fontId="12" fillId="0" borderId="1" applyNumberFormat="0" applyFont="0" applyFill="0" applyBorder="0" applyProtection="0">
      <alignment horizontal="left" vertical="center" indent="2"/>
    </xf>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49" fontId="12" fillId="0" borderId="2" applyNumberFormat="0" applyFont="0" applyFill="0" applyBorder="0" applyProtection="0">
      <alignment horizontal="left" vertical="center" indent="5"/>
    </xf>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4" fontId="13" fillId="0" borderId="3" applyFill="0" applyBorder="0" applyProtection="0">
      <alignment horizontal="right" vertical="center"/>
    </xf>
    <xf numFmtId="0" fontId="54" fillId="27" borderId="4" applyNumberFormat="0" applyAlignment="0" applyProtection="0"/>
    <xf numFmtId="0" fontId="55" fillId="28" borderId="5" applyNumberFormat="0" applyAlignment="0" applyProtection="0"/>
    <xf numFmtId="0" fontId="1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3" fontId="15" fillId="0" borderId="0" applyFont="0" applyFill="0" applyBorder="0" applyAlignment="0" applyProtection="0"/>
    <xf numFmtId="0" fontId="16" fillId="0" borderId="0">
      <alignment horizontal="left" vertical="center" wrapText="1"/>
      <protection/>
    </xf>
    <xf numFmtId="0" fontId="0" fillId="2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206" fontId="15" fillId="0" borderId="0" applyFont="0" applyFill="0" applyBorder="0" applyAlignment="0" applyProtection="0"/>
    <xf numFmtId="3" fontId="17" fillId="0" borderId="6" applyAlignment="0">
      <protection/>
    </xf>
    <xf numFmtId="207" fontId="17" fillId="0" borderId="6">
      <alignment horizontal="right" vertical="center"/>
      <protection/>
    </xf>
    <xf numFmtId="49" fontId="18" fillId="0" borderId="6">
      <alignment horizontal="left" vertical="center"/>
      <protection/>
    </xf>
    <xf numFmtId="208" fontId="19" fillId="0" borderId="6" applyNumberFormat="0" applyFill="0">
      <alignment horizontal="right"/>
      <protection/>
    </xf>
    <xf numFmtId="209" fontId="19" fillId="0" borderId="6">
      <alignment horizontal="right"/>
      <protection/>
    </xf>
    <xf numFmtId="0" fontId="0" fillId="0" borderId="0" applyFont="0" applyFill="0" applyBorder="0" applyAlignment="0" applyProtection="0"/>
    <xf numFmtId="0" fontId="56" fillId="0" borderId="0" applyNumberForma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57" fillId="30" borderId="0" applyNumberFormat="0" applyBorder="0" applyAlignment="0" applyProtection="0"/>
    <xf numFmtId="0" fontId="58" fillId="0" borderId="7" applyNumberFormat="0" applyFill="0" applyAlignment="0" applyProtection="0"/>
    <xf numFmtId="0" fontId="29" fillId="0" borderId="0" applyNumberFormat="0" applyFill="0" applyBorder="0" applyAlignment="0" applyProtection="0"/>
    <xf numFmtId="0" fontId="59" fillId="0" borderId="8" applyNumberFormat="0" applyFill="0" applyAlignment="0" applyProtection="0"/>
    <xf numFmtId="0" fontId="30" fillId="0" borderId="0" applyNumberFormat="0" applyFill="0" applyBorder="0" applyAlignment="0" applyProtection="0"/>
    <xf numFmtId="0" fontId="60" fillId="0" borderId="9" applyNumberFormat="0" applyFill="0" applyAlignment="0" applyProtection="0"/>
    <xf numFmtId="0" fontId="60" fillId="0" borderId="0" applyNumberFormat="0" applyFill="0" applyBorder="0" applyAlignment="0" applyProtection="0"/>
    <xf numFmtId="0" fontId="20" fillId="0" borderId="0" applyNumberFormat="0" applyFill="0" applyBorder="0" applyAlignment="0" applyProtection="0"/>
    <xf numFmtId="0" fontId="21" fillId="0" borderId="6">
      <alignment horizontal="left"/>
      <protection/>
    </xf>
    <xf numFmtId="0" fontId="21" fillId="0" borderId="10">
      <alignment horizontal="right" vertical="center"/>
      <protection/>
    </xf>
    <xf numFmtId="0" fontId="22" fillId="0" borderId="6">
      <alignment horizontal="left" vertical="center"/>
      <protection/>
    </xf>
    <xf numFmtId="0" fontId="19" fillId="0" borderId="6">
      <alignment horizontal="left" vertical="center"/>
      <protection/>
    </xf>
    <xf numFmtId="0" fontId="23" fillId="0" borderId="6">
      <alignment horizontal="left"/>
      <protection/>
    </xf>
    <xf numFmtId="0" fontId="23" fillId="31" borderId="0">
      <alignment horizontal="centerContinuous" wrapText="1"/>
      <protection/>
    </xf>
    <xf numFmtId="49" fontId="23" fillId="31" borderId="11">
      <alignment horizontal="left" vertical="center"/>
      <protection/>
    </xf>
    <xf numFmtId="0" fontId="23" fillId="31" borderId="0">
      <alignment horizontal="centerContinuous" vertical="center" wrapText="1"/>
      <protection/>
    </xf>
    <xf numFmtId="0" fontId="5" fillId="0" borderId="0" applyNumberFormat="0" applyFill="0" applyBorder="0" applyAlignment="0" applyProtection="0"/>
    <xf numFmtId="0" fontId="61" fillId="0" borderId="0" applyNumberFormat="0" applyFill="0" applyBorder="0" applyAlignment="0" applyProtection="0"/>
    <xf numFmtId="0" fontId="62" fillId="32" borderId="4" applyNumberFormat="0" applyAlignment="0" applyProtection="0"/>
    <xf numFmtId="0" fontId="63" fillId="0" borderId="12" applyNumberFormat="0" applyFill="0" applyAlignment="0" applyProtection="0"/>
    <xf numFmtId="0" fontId="0" fillId="33" borderId="0" applyNumberFormat="0" applyFont="0" applyBorder="0" applyAlignment="0">
      <protection/>
    </xf>
    <xf numFmtId="41"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0" fontId="64" fillId="34" borderId="0" applyNumberFormat="0" applyBorder="0" applyAlignment="0" applyProtection="0"/>
    <xf numFmtId="0" fontId="0" fillId="0" borderId="0">
      <alignment/>
      <protection/>
    </xf>
    <xf numFmtId="0" fontId="51" fillId="0" borderId="0">
      <alignment/>
      <protection/>
    </xf>
    <xf numFmtId="0" fontId="32" fillId="0" borderId="0">
      <alignment vertical="center"/>
      <protection/>
    </xf>
    <xf numFmtId="0" fontId="32" fillId="0" borderId="0">
      <alignment vertical="center"/>
      <protection/>
    </xf>
    <xf numFmtId="4" fontId="12" fillId="0" borderId="1" applyFill="0" applyBorder="0" applyProtection="0">
      <alignment horizontal="right" vertical="center"/>
    </xf>
    <xf numFmtId="49" fontId="13" fillId="0" borderId="1" applyNumberFormat="0" applyFill="0" applyBorder="0" applyProtection="0">
      <alignment horizontal="left" vertical="center"/>
    </xf>
    <xf numFmtId="0" fontId="12" fillId="0" borderId="1" applyNumberFormat="0" applyFill="0" applyAlignment="0" applyProtection="0"/>
    <xf numFmtId="0" fontId="25" fillId="35" borderId="0" applyNumberFormat="0" applyFont="0" applyBorder="0" applyAlignment="0" applyProtection="0"/>
    <xf numFmtId="0" fontId="26" fillId="35" borderId="0" applyNumberFormat="0" applyFont="0" applyBorder="0" applyAlignment="0" applyProtection="0"/>
    <xf numFmtId="0" fontId="9" fillId="0" borderId="0">
      <alignment/>
      <protection/>
    </xf>
    <xf numFmtId="0" fontId="0" fillId="36" borderId="13" applyNumberFormat="0" applyFont="0" applyAlignment="0" applyProtection="0"/>
    <xf numFmtId="0" fontId="65" fillId="27" borderId="14" applyNumberFormat="0" applyAlignment="0" applyProtection="0"/>
    <xf numFmtId="193" fontId="12" fillId="37" borderId="1" applyNumberFormat="0" applyFon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3" fontId="17" fillId="0" borderId="0">
      <alignment horizontal="left" vertical="center"/>
      <protection/>
    </xf>
    <xf numFmtId="0" fontId="14" fillId="0" borderId="0">
      <alignment horizontal="left" vertical="center"/>
      <protection/>
    </xf>
    <xf numFmtId="0" fontId="26" fillId="0" borderId="0">
      <alignment horizontal="right"/>
      <protection/>
    </xf>
    <xf numFmtId="0" fontId="26" fillId="0" borderId="0">
      <alignment horizontal="right"/>
      <protection/>
    </xf>
    <xf numFmtId="49" fontId="26" fillId="0" borderId="0">
      <alignment horizontal="center"/>
      <protection/>
    </xf>
    <xf numFmtId="49" fontId="26" fillId="0" borderId="0">
      <alignment horizontal="center"/>
      <protection/>
    </xf>
    <xf numFmtId="0" fontId="18" fillId="0" borderId="0">
      <alignment horizontal="right"/>
      <protection/>
    </xf>
    <xf numFmtId="0" fontId="26" fillId="0" borderId="0">
      <alignment horizontal="left"/>
      <protection/>
    </xf>
    <xf numFmtId="0" fontId="26" fillId="0" borderId="0">
      <alignment horizontal="left"/>
      <protection/>
    </xf>
    <xf numFmtId="0" fontId="12" fillId="0" borderId="0">
      <alignment/>
      <protection/>
    </xf>
    <xf numFmtId="49" fontId="17" fillId="0" borderId="0">
      <alignment horizontal="left" vertical="center"/>
      <protection/>
    </xf>
    <xf numFmtId="49" fontId="18" fillId="0" borderId="6">
      <alignment horizontal="left" vertical="center"/>
      <protection/>
    </xf>
    <xf numFmtId="49" fontId="14" fillId="0" borderId="6" applyFill="0">
      <alignment horizontal="left" vertical="center"/>
      <protection/>
    </xf>
    <xf numFmtId="49" fontId="18" fillId="0" borderId="6">
      <alignment horizontal="left"/>
      <protection/>
    </xf>
    <xf numFmtId="208" fontId="17" fillId="0" borderId="0" applyNumberFormat="0">
      <alignment horizontal="right"/>
      <protection/>
    </xf>
    <xf numFmtId="0" fontId="21" fillId="38" borderId="0">
      <alignment horizontal="centerContinuous" vertical="center" wrapText="1"/>
      <protection/>
    </xf>
    <xf numFmtId="0" fontId="21" fillId="0" borderId="15">
      <alignment horizontal="left" vertical="center"/>
      <protection/>
    </xf>
    <xf numFmtId="0" fontId="27" fillId="0" borderId="0">
      <alignment horizontal="left" vertical="top"/>
      <protection/>
    </xf>
    <xf numFmtId="0" fontId="66" fillId="0" borderId="0" applyNumberFormat="0" applyFill="0" applyBorder="0" applyAlignment="0" applyProtection="0"/>
    <xf numFmtId="0" fontId="23" fillId="0" borderId="0">
      <alignment horizontal="left"/>
      <protection/>
    </xf>
    <xf numFmtId="0" fontId="16" fillId="0" borderId="0">
      <alignment horizontal="left"/>
      <protection/>
    </xf>
    <xf numFmtId="0" fontId="19" fillId="0" borderId="0">
      <alignment horizontal="left"/>
      <protection/>
    </xf>
    <xf numFmtId="0" fontId="27" fillId="0" borderId="0">
      <alignment horizontal="left" vertical="top"/>
      <protection/>
    </xf>
    <xf numFmtId="0" fontId="16" fillId="0" borderId="0">
      <alignment horizontal="left"/>
      <protection/>
    </xf>
    <xf numFmtId="0" fontId="19" fillId="0" borderId="0">
      <alignment horizontal="left"/>
      <protection/>
    </xf>
    <xf numFmtId="0" fontId="67" fillId="0" borderId="16" applyNumberFormat="0" applyFill="0" applyAlignment="0" applyProtection="0"/>
    <xf numFmtId="0" fontId="0" fillId="0" borderId="17" applyNumberFormat="0" applyFont="0" applyFill="0" applyAlignment="0" applyProtection="0"/>
    <xf numFmtId="0" fontId="68" fillId="0" borderId="0" applyNumberFormat="0" applyFill="0" applyBorder="0" applyAlignment="0" applyProtection="0"/>
    <xf numFmtId="49" fontId="17" fillId="0" borderId="6">
      <alignment horizontal="left"/>
      <protection/>
    </xf>
    <xf numFmtId="0" fontId="21" fillId="0" borderId="10">
      <alignment horizontal="left"/>
      <protection/>
    </xf>
    <xf numFmtId="0" fontId="23" fillId="0" borderId="0">
      <alignment horizontal="left" vertical="center"/>
      <protection/>
    </xf>
    <xf numFmtId="49" fontId="26" fillId="0" borderId="6">
      <alignment horizontal="left"/>
      <protection/>
    </xf>
    <xf numFmtId="0" fontId="31" fillId="29" borderId="0">
      <alignment horizontal="left" vertical="center" indent="1"/>
      <protection/>
    </xf>
    <xf numFmtId="0" fontId="12" fillId="0" borderId="0">
      <alignment/>
      <protection/>
    </xf>
  </cellStyleXfs>
  <cellXfs count="156">
    <xf numFmtId="0" fontId="0" fillId="0" borderId="0" xfId="0" applyAlignment="1">
      <alignment/>
    </xf>
    <xf numFmtId="0" fontId="1" fillId="0" borderId="0" xfId="0" applyFont="1" applyAlignment="1">
      <alignment/>
    </xf>
    <xf numFmtId="0" fontId="0" fillId="33" borderId="0" xfId="0" applyFill="1" applyAlignment="1">
      <alignment/>
    </xf>
    <xf numFmtId="0" fontId="3" fillId="33" borderId="0" xfId="0" applyFont="1" applyFill="1" applyAlignment="1">
      <alignment wrapText="1"/>
    </xf>
    <xf numFmtId="0" fontId="4" fillId="33" borderId="0" xfId="0" applyFont="1" applyFill="1" applyAlignment="1">
      <alignment/>
    </xf>
    <xf numFmtId="3" fontId="0" fillId="0" borderId="0" xfId="0" applyNumberFormat="1" applyAlignment="1">
      <alignment/>
    </xf>
    <xf numFmtId="9" fontId="0" fillId="0" borderId="0" xfId="0" applyNumberFormat="1" applyAlignment="1">
      <alignment horizontal="center"/>
    </xf>
    <xf numFmtId="0" fontId="1" fillId="0" borderId="0" xfId="0" applyFont="1" applyAlignment="1">
      <alignment horizontal="center" wrapText="1"/>
    </xf>
    <xf numFmtId="2" fontId="4" fillId="33" borderId="0" xfId="0" applyNumberFormat="1" applyFont="1" applyFill="1" applyAlignment="1">
      <alignment/>
    </xf>
    <xf numFmtId="0" fontId="0" fillId="39" borderId="0" xfId="0" applyFill="1" applyAlignment="1">
      <alignment/>
    </xf>
    <xf numFmtId="0" fontId="4" fillId="0" borderId="11" xfId="0" applyFont="1" applyFill="1" applyBorder="1" applyAlignment="1">
      <alignment horizontal="center" wrapText="1"/>
    </xf>
    <xf numFmtId="0" fontId="4" fillId="0" borderId="11" xfId="0" applyFont="1" applyBorder="1" applyAlignment="1">
      <alignment horizontal="center" wrapText="1"/>
    </xf>
    <xf numFmtId="0" fontId="4" fillId="0" borderId="0" xfId="0" applyFont="1" applyAlignment="1">
      <alignment horizontal="center"/>
    </xf>
    <xf numFmtId="3" fontId="4" fillId="0" borderId="0" xfId="0" applyNumberFormat="1" applyFont="1" applyAlignment="1">
      <alignment/>
    </xf>
    <xf numFmtId="0" fontId="4" fillId="0" borderId="0" xfId="0" applyFont="1" applyAlignment="1">
      <alignment/>
    </xf>
    <xf numFmtId="0" fontId="4" fillId="0" borderId="0" xfId="0" applyFont="1" applyAlignment="1">
      <alignment horizontal="right"/>
    </xf>
    <xf numFmtId="0" fontId="4" fillId="0" borderId="0" xfId="0" applyNumberFormat="1" applyFont="1" applyFill="1" applyAlignment="1">
      <alignment horizontal="center"/>
    </xf>
    <xf numFmtId="0" fontId="4" fillId="0" borderId="0" xfId="0" applyFont="1" applyAlignment="1">
      <alignment horizontal="center" wrapText="1"/>
    </xf>
    <xf numFmtId="0" fontId="4" fillId="0" borderId="18" xfId="0" applyFont="1" applyFill="1" applyBorder="1" applyAlignment="1">
      <alignment/>
    </xf>
    <xf numFmtId="0" fontId="4" fillId="0" borderId="19" xfId="0" applyFont="1" applyFill="1" applyBorder="1" applyAlignment="1">
      <alignment/>
    </xf>
    <xf numFmtId="0" fontId="4" fillId="0" borderId="0"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11" xfId="0" applyFont="1" applyFill="1" applyBorder="1" applyAlignment="1">
      <alignment/>
    </xf>
    <xf numFmtId="0" fontId="4" fillId="0" borderId="23" xfId="0" applyFont="1" applyFill="1" applyBorder="1" applyAlignment="1">
      <alignment/>
    </xf>
    <xf numFmtId="3" fontId="4" fillId="0" borderId="0" xfId="103" applyNumberFormat="1" applyFont="1" applyFill="1" applyBorder="1" applyAlignment="1">
      <alignment/>
      <protection/>
    </xf>
    <xf numFmtId="3" fontId="4" fillId="0" borderId="0" xfId="103" applyNumberFormat="1" applyFont="1" applyFill="1" applyBorder="1" applyAlignment="1" quotePrefix="1">
      <alignment/>
      <protection/>
    </xf>
    <xf numFmtId="0" fontId="4" fillId="0" borderId="0" xfId="0" applyFont="1" applyFill="1" applyBorder="1" applyAlignment="1">
      <alignment horizontal="center"/>
    </xf>
    <xf numFmtId="0" fontId="3" fillId="33" borderId="0" xfId="0" applyFont="1" applyFill="1" applyAlignment="1">
      <alignment horizontal="center" wrapText="1"/>
    </xf>
    <xf numFmtId="168" fontId="4" fillId="33" borderId="0" xfId="0" applyNumberFormat="1" applyFont="1" applyFill="1" applyAlignment="1">
      <alignment/>
    </xf>
    <xf numFmtId="0" fontId="4" fillId="39" borderId="0" xfId="0" applyFont="1" applyFill="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horizontal="center"/>
    </xf>
    <xf numFmtId="0" fontId="0" fillId="0" borderId="0" xfId="0" applyFill="1" applyAlignment="1">
      <alignment/>
    </xf>
    <xf numFmtId="170" fontId="0" fillId="0" borderId="0" xfId="0" applyNumberFormat="1" applyAlignment="1">
      <alignment/>
    </xf>
    <xf numFmtId="0" fontId="3" fillId="0" borderId="1" xfId="0" applyFont="1" applyFill="1" applyBorder="1" applyAlignment="1">
      <alignment horizontal="center" wrapText="1"/>
    </xf>
    <xf numFmtId="3" fontId="4" fillId="0" borderId="28" xfId="0" applyNumberFormat="1" applyFont="1" applyFill="1" applyBorder="1" applyAlignment="1">
      <alignment/>
    </xf>
    <xf numFmtId="3" fontId="3" fillId="0" borderId="29" xfId="0" applyNumberFormat="1" applyFont="1" applyBorder="1" applyAlignment="1">
      <alignment horizontal="right"/>
    </xf>
    <xf numFmtId="3" fontId="4" fillId="0" borderId="29" xfId="0" applyNumberFormat="1" applyFont="1" applyBorder="1" applyAlignment="1">
      <alignment/>
    </xf>
    <xf numFmtId="4" fontId="4" fillId="0" borderId="29" xfId="0" applyNumberFormat="1" applyFont="1" applyBorder="1" applyAlignment="1">
      <alignment/>
    </xf>
    <xf numFmtId="192" fontId="4" fillId="0" borderId="29" xfId="0" applyNumberFormat="1" applyFont="1" applyBorder="1" applyAlignment="1">
      <alignment/>
    </xf>
    <xf numFmtId="3" fontId="3" fillId="0" borderId="30" xfId="0" applyNumberFormat="1" applyFont="1" applyFill="1" applyBorder="1" applyAlignment="1">
      <alignment/>
    </xf>
    <xf numFmtId="3" fontId="0" fillId="0" borderId="0" xfId="0" applyNumberFormat="1" applyFill="1" applyAlignment="1">
      <alignment/>
    </xf>
    <xf numFmtId="0" fontId="0" fillId="0" borderId="0" xfId="0" applyFont="1" applyAlignment="1">
      <alignment/>
    </xf>
    <xf numFmtId="0" fontId="1" fillId="0" borderId="0" xfId="0" applyFont="1" applyFill="1" applyAlignment="1">
      <alignment/>
    </xf>
    <xf numFmtId="3" fontId="4" fillId="0" borderId="0" xfId="0" applyNumberFormat="1" applyFont="1" applyFill="1" applyAlignment="1">
      <alignment/>
    </xf>
    <xf numFmtId="0" fontId="4" fillId="0" borderId="0" xfId="0" applyFont="1" applyFill="1" applyAlignment="1">
      <alignment/>
    </xf>
    <xf numFmtId="168" fontId="4" fillId="0" borderId="0" xfId="0" applyNumberFormat="1" applyFont="1" applyFill="1" applyAlignment="1">
      <alignment/>
    </xf>
    <xf numFmtId="3" fontId="3" fillId="0" borderId="31" xfId="0" applyNumberFormat="1" applyFont="1" applyFill="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center"/>
    </xf>
    <xf numFmtId="2" fontId="4" fillId="0" borderId="0" xfId="0" applyNumberFormat="1" applyFont="1" applyFill="1" applyAlignment="1">
      <alignment horizontal="center"/>
    </xf>
    <xf numFmtId="0" fontId="3" fillId="0" borderId="0" xfId="0" applyFont="1" applyBorder="1" applyAlignment="1">
      <alignment/>
    </xf>
    <xf numFmtId="3" fontId="4" fillId="0" borderId="0" xfId="0" applyNumberFormat="1" applyFont="1" applyFill="1" applyAlignment="1">
      <alignment/>
    </xf>
    <xf numFmtId="0" fontId="3" fillId="0" borderId="21" xfId="0" applyFont="1" applyBorder="1" applyAlignment="1">
      <alignment horizontal="center"/>
    </xf>
    <xf numFmtId="0" fontId="4" fillId="0" borderId="21" xfId="0" applyFont="1" applyBorder="1" applyAlignment="1">
      <alignment/>
    </xf>
    <xf numFmtId="3" fontId="4" fillId="0" borderId="21" xfId="0" applyNumberFormat="1" applyFont="1" applyBorder="1" applyAlignment="1">
      <alignment/>
    </xf>
    <xf numFmtId="1" fontId="4" fillId="0" borderId="21" xfId="0" applyNumberFormat="1" applyFont="1" applyBorder="1" applyAlignment="1">
      <alignment/>
    </xf>
    <xf numFmtId="171" fontId="4" fillId="0" borderId="21" xfId="0" applyNumberFormat="1" applyFont="1" applyBorder="1" applyAlignment="1">
      <alignment/>
    </xf>
    <xf numFmtId="3" fontId="3" fillId="0" borderId="0" xfId="0" applyNumberFormat="1" applyFont="1" applyFill="1" applyBorder="1" applyAlignment="1">
      <alignment/>
    </xf>
    <xf numFmtId="3" fontId="4" fillId="0" borderId="21" xfId="0" applyNumberFormat="1" applyFont="1" applyFill="1" applyBorder="1" applyAlignment="1">
      <alignment/>
    </xf>
    <xf numFmtId="168" fontId="3" fillId="0" borderId="0" xfId="0" applyNumberFormat="1" applyFont="1" applyFill="1" applyBorder="1" applyAlignment="1">
      <alignment horizontal="right"/>
    </xf>
    <xf numFmtId="0" fontId="1" fillId="0" borderId="0" xfId="0" applyFont="1" applyAlignment="1">
      <alignment horizontal="left"/>
    </xf>
    <xf numFmtId="0" fontId="4" fillId="0" borderId="0" xfId="0" applyNumberFormat="1" applyFont="1" applyAlignment="1">
      <alignment horizontal="center"/>
    </xf>
    <xf numFmtId="0" fontId="3" fillId="0" borderId="11" xfId="0" applyFont="1" applyFill="1" applyBorder="1" applyAlignment="1">
      <alignment/>
    </xf>
    <xf numFmtId="0" fontId="4" fillId="0" borderId="0" xfId="0" applyFont="1" applyAlignment="1">
      <alignment/>
    </xf>
    <xf numFmtId="0" fontId="4" fillId="0" borderId="0" xfId="0" applyFont="1" applyFill="1" applyAlignment="1">
      <alignment/>
    </xf>
    <xf numFmtId="0" fontId="4" fillId="0" borderId="0" xfId="0" applyFont="1" applyFill="1" applyAlignment="1">
      <alignment horizontal="center" wrapText="1"/>
    </xf>
    <xf numFmtId="0" fontId="0" fillId="0" borderId="0" xfId="0" applyFill="1" applyAlignment="1">
      <alignment wrapText="1"/>
    </xf>
    <xf numFmtId="0" fontId="0" fillId="0" borderId="0" xfId="0" applyFont="1" applyAlignment="1">
      <alignment/>
    </xf>
    <xf numFmtId="0" fontId="3" fillId="0" borderId="11" xfId="0" applyFont="1" applyBorder="1" applyAlignment="1">
      <alignment horizontal="center" wrapText="1"/>
    </xf>
    <xf numFmtId="3" fontId="3" fillId="0" borderId="32" xfId="0" applyNumberFormat="1" applyFont="1" applyBorder="1" applyAlignment="1">
      <alignment/>
    </xf>
    <xf numFmtId="3" fontId="3" fillId="0" borderId="33" xfId="0" applyNumberFormat="1" applyFont="1" applyBorder="1" applyAlignment="1">
      <alignment horizontal="right"/>
    </xf>
    <xf numFmtId="3" fontId="3" fillId="0" borderId="34" xfId="0" applyNumberFormat="1" applyFont="1" applyBorder="1" applyAlignment="1">
      <alignment horizontal="right"/>
    </xf>
    <xf numFmtId="0" fontId="0" fillId="0" borderId="29" xfId="0" applyBorder="1" applyAlignment="1">
      <alignment/>
    </xf>
    <xf numFmtId="3" fontId="3" fillId="0" borderId="29" xfId="0" applyNumberFormat="1" applyFont="1" applyBorder="1" applyAlignment="1">
      <alignment/>
    </xf>
    <xf numFmtId="0" fontId="3" fillId="0" borderId="21" xfId="0" applyFont="1" applyFill="1" applyBorder="1" applyAlignment="1">
      <alignment/>
    </xf>
    <xf numFmtId="3" fontId="4" fillId="0" borderId="31" xfId="107" applyNumberFormat="1" applyFont="1" applyFill="1" applyBorder="1" applyAlignment="1">
      <alignment/>
    </xf>
    <xf numFmtId="3" fontId="4" fillId="0" borderId="28" xfId="107" applyNumberFormat="1" applyFont="1" applyFill="1" applyBorder="1" applyAlignment="1">
      <alignment/>
    </xf>
    <xf numFmtId="3" fontId="4" fillId="0" borderId="3" xfId="107" applyNumberFormat="1" applyFont="1" applyFill="1" applyBorder="1" applyAlignment="1">
      <alignment/>
    </xf>
    <xf numFmtId="0" fontId="4" fillId="0" borderId="0" xfId="0" applyFont="1" applyFill="1" applyAlignment="1">
      <alignment horizontal="center"/>
    </xf>
    <xf numFmtId="1" fontId="0" fillId="0" borderId="0" xfId="0" applyNumberFormat="1" applyAlignment="1">
      <alignment/>
    </xf>
    <xf numFmtId="168" fontId="0" fillId="0" borderId="0" xfId="0" applyNumberFormat="1" applyAlignment="1">
      <alignment/>
    </xf>
    <xf numFmtId="0" fontId="4" fillId="29" borderId="0" xfId="0" applyFont="1" applyFill="1" applyAlignment="1">
      <alignment/>
    </xf>
    <xf numFmtId="3" fontId="3" fillId="0" borderId="31" xfId="0" applyNumberFormat="1" applyFont="1" applyBorder="1" applyAlignment="1">
      <alignment/>
    </xf>
    <xf numFmtId="170" fontId="4" fillId="0" borderId="0" xfId="0" applyNumberFormat="1" applyFont="1" applyFill="1" applyAlignment="1">
      <alignment/>
    </xf>
    <xf numFmtId="0" fontId="4" fillId="0" borderId="0" xfId="0" applyNumberFormat="1" applyFont="1" applyFill="1" applyAlignment="1">
      <alignment/>
    </xf>
    <xf numFmtId="168" fontId="4" fillId="0" borderId="0" xfId="0" applyNumberFormat="1" applyFont="1" applyFill="1" applyAlignment="1">
      <alignment/>
    </xf>
    <xf numFmtId="3" fontId="4" fillId="0" borderId="0" xfId="0" applyNumberFormat="1" applyFont="1" applyFill="1" applyBorder="1" applyAlignment="1">
      <alignment/>
    </xf>
    <xf numFmtId="171" fontId="4" fillId="0" borderId="0" xfId="0" applyNumberFormat="1" applyFont="1" applyFill="1" applyAlignment="1">
      <alignment/>
    </xf>
    <xf numFmtId="0" fontId="2" fillId="33" borderId="0" xfId="0" applyFont="1" applyFill="1" applyAlignment="1">
      <alignment/>
    </xf>
    <xf numFmtId="3" fontId="4" fillId="0" borderId="21" xfId="103" applyNumberFormat="1" applyFont="1" applyFill="1" applyBorder="1" applyAlignment="1">
      <alignment/>
      <protection/>
    </xf>
    <xf numFmtId="3" fontId="3" fillId="0" borderId="28" xfId="0" applyNumberFormat="1" applyFont="1" applyFill="1" applyBorder="1" applyAlignment="1">
      <alignment/>
    </xf>
    <xf numFmtId="0" fontId="3" fillId="0" borderId="0" xfId="0" applyFont="1" applyFill="1" applyBorder="1" applyAlignment="1">
      <alignment/>
    </xf>
    <xf numFmtId="0" fontId="2" fillId="33" borderId="0" xfId="0" applyFont="1" applyFill="1" applyAlignment="1">
      <alignment/>
    </xf>
    <xf numFmtId="0" fontId="4" fillId="0" borderId="0" xfId="0" applyFont="1" applyFill="1" applyAlignment="1">
      <alignment horizontal="right"/>
    </xf>
    <xf numFmtId="3" fontId="3" fillId="0" borderId="3" xfId="0" applyNumberFormat="1" applyFont="1" applyFill="1" applyBorder="1" applyAlignment="1">
      <alignment/>
    </xf>
    <xf numFmtId="0" fontId="4" fillId="0" borderId="27" xfId="0" applyFont="1" applyFill="1" applyBorder="1" applyAlignment="1">
      <alignment/>
    </xf>
    <xf numFmtId="0" fontId="0" fillId="0" borderId="18" xfId="0" applyFill="1" applyBorder="1" applyAlignment="1">
      <alignment/>
    </xf>
    <xf numFmtId="3" fontId="4" fillId="0" borderId="18" xfId="0" applyNumberFormat="1" applyFont="1" applyFill="1" applyBorder="1" applyAlignment="1">
      <alignment/>
    </xf>
    <xf numFmtId="0" fontId="4" fillId="0" borderId="18" xfId="0" applyFont="1" applyFill="1" applyBorder="1" applyAlignment="1">
      <alignment/>
    </xf>
    <xf numFmtId="0" fontId="0" fillId="0" borderId="19" xfId="0" applyFill="1" applyBorder="1" applyAlignment="1">
      <alignment/>
    </xf>
    <xf numFmtId="3" fontId="4" fillId="0" borderId="0" xfId="0" applyNumberFormat="1" applyFont="1" applyAlignment="1">
      <alignment/>
    </xf>
    <xf numFmtId="3" fontId="4" fillId="0" borderId="29" xfId="0" applyNumberFormat="1" applyFont="1" applyBorder="1" applyAlignment="1">
      <alignment horizontal="right"/>
    </xf>
    <xf numFmtId="3" fontId="3" fillId="0" borderId="0" xfId="0" applyNumberFormat="1" applyFont="1" applyAlignment="1">
      <alignment/>
    </xf>
    <xf numFmtId="2" fontId="4" fillId="0" borderId="0" xfId="0" applyNumberFormat="1" applyFont="1" applyFill="1" applyAlignment="1">
      <alignment/>
    </xf>
    <xf numFmtId="0" fontId="3" fillId="0" borderId="19" xfId="0" applyFont="1" applyFill="1" applyBorder="1" applyAlignment="1">
      <alignment horizontal="center"/>
    </xf>
    <xf numFmtId="3" fontId="3" fillId="0" borderId="0" xfId="0" applyNumberFormat="1" applyFont="1" applyFill="1" applyAlignment="1">
      <alignment/>
    </xf>
    <xf numFmtId="0" fontId="3" fillId="0" borderId="0" xfId="0" applyFont="1" applyFill="1" applyAlignment="1">
      <alignment/>
    </xf>
    <xf numFmtId="3" fontId="3" fillId="0" borderId="21" xfId="0" applyNumberFormat="1" applyFont="1" applyBorder="1" applyAlignment="1">
      <alignment/>
    </xf>
    <xf numFmtId="171" fontId="3" fillId="0" borderId="0" xfId="0" applyNumberFormat="1" applyFont="1" applyFill="1" applyBorder="1" applyAlignment="1">
      <alignment/>
    </xf>
    <xf numFmtId="172" fontId="4" fillId="0" borderId="0" xfId="107" applyNumberFormat="1" applyFont="1" applyFill="1" applyBorder="1" applyAlignment="1">
      <alignment/>
    </xf>
    <xf numFmtId="3" fontId="4" fillId="0" borderId="31" xfId="0" applyNumberFormat="1" applyFont="1" applyFill="1" applyBorder="1" applyAlignment="1">
      <alignment/>
    </xf>
    <xf numFmtId="3" fontId="4" fillId="0" borderId="3" xfId="0" applyNumberFormat="1" applyFont="1" applyFill="1" applyBorder="1" applyAlignment="1">
      <alignment/>
    </xf>
    <xf numFmtId="0" fontId="4" fillId="29" borderId="0" xfId="0" applyFont="1" applyFill="1" applyAlignment="1">
      <alignment/>
    </xf>
    <xf numFmtId="3" fontId="3" fillId="0" borderId="24" xfId="0" applyNumberFormat="1" applyFont="1" applyFill="1" applyBorder="1" applyAlignment="1">
      <alignment/>
    </xf>
    <xf numFmtId="3" fontId="4" fillId="0" borderId="0" xfId="0" applyNumberFormat="1" applyFont="1" applyBorder="1" applyAlignment="1">
      <alignment/>
    </xf>
    <xf numFmtId="174" fontId="0" fillId="0" borderId="0" xfId="46" applyNumberFormat="1" applyFont="1" applyAlignment="1">
      <alignment/>
    </xf>
    <xf numFmtId="0" fontId="0" fillId="0" borderId="0" xfId="0" applyFont="1" applyFill="1" applyAlignment="1">
      <alignment/>
    </xf>
    <xf numFmtId="0" fontId="4" fillId="0" borderId="0" xfId="0" applyFont="1" applyBorder="1" applyAlignment="1">
      <alignment horizontal="center" wrapText="1"/>
    </xf>
    <xf numFmtId="0" fontId="3" fillId="0" borderId="0" xfId="0" applyFont="1" applyBorder="1" applyAlignment="1">
      <alignment horizontal="center" wrapText="1"/>
    </xf>
    <xf numFmtId="3" fontId="4" fillId="0" borderId="35" xfId="0" applyNumberFormat="1" applyFont="1" applyFill="1" applyBorder="1" applyAlignment="1">
      <alignment/>
    </xf>
    <xf numFmtId="0" fontId="4" fillId="0" borderId="0" xfId="0" applyNumberFormat="1" applyFont="1" applyFill="1" applyBorder="1" applyAlignment="1">
      <alignment/>
    </xf>
    <xf numFmtId="171" fontId="3" fillId="0" borderId="36" xfId="0" applyNumberFormat="1" applyFont="1" applyFill="1" applyBorder="1" applyAlignment="1">
      <alignment/>
    </xf>
    <xf numFmtId="3" fontId="4" fillId="0" borderId="35" xfId="0" applyNumberFormat="1" applyFont="1" applyBorder="1" applyAlignment="1">
      <alignment/>
    </xf>
    <xf numFmtId="0" fontId="4" fillId="0" borderId="0" xfId="0" applyNumberFormat="1" applyFont="1" applyBorder="1" applyAlignment="1">
      <alignment/>
    </xf>
    <xf numFmtId="3" fontId="4" fillId="0" borderId="37" xfId="0" applyNumberFormat="1" applyFont="1" applyFill="1" applyBorder="1" applyAlignment="1">
      <alignment/>
    </xf>
    <xf numFmtId="0" fontId="4" fillId="0" borderId="30" xfId="0" applyNumberFormat="1" applyFont="1" applyFill="1" applyBorder="1" applyAlignment="1">
      <alignment/>
    </xf>
    <xf numFmtId="3" fontId="4" fillId="0" borderId="30" xfId="103" applyNumberFormat="1" applyFont="1" applyFill="1" applyBorder="1" applyAlignment="1">
      <alignment/>
      <protection/>
    </xf>
    <xf numFmtId="3" fontId="4" fillId="0" borderId="30" xfId="0" applyNumberFormat="1" applyFont="1" applyFill="1" applyBorder="1" applyAlignment="1">
      <alignment/>
    </xf>
    <xf numFmtId="171" fontId="3" fillId="0" borderId="38" xfId="0" applyNumberFormat="1" applyFont="1" applyFill="1" applyBorder="1" applyAlignment="1">
      <alignment/>
    </xf>
    <xf numFmtId="3" fontId="4" fillId="0" borderId="0" xfId="95" applyNumberFormat="1" applyFont="1" applyFill="1">
      <alignment/>
      <protection/>
    </xf>
    <xf numFmtId="3" fontId="4" fillId="0" borderId="39" xfId="0" applyNumberFormat="1" applyFont="1" applyFill="1" applyBorder="1" applyAlignment="1">
      <alignment/>
    </xf>
    <xf numFmtId="0" fontId="4" fillId="0" borderId="29" xfId="0" applyNumberFormat="1" applyFont="1" applyFill="1" applyBorder="1" applyAlignment="1">
      <alignment/>
    </xf>
    <xf numFmtId="3" fontId="4" fillId="0" borderId="29" xfId="103" applyNumberFormat="1" applyFont="1" applyFill="1" applyBorder="1" applyAlignment="1">
      <alignment/>
      <protection/>
    </xf>
    <xf numFmtId="3" fontId="4" fillId="0" borderId="29" xfId="0" applyNumberFormat="1" applyFont="1" applyFill="1" applyBorder="1" applyAlignment="1">
      <alignment/>
    </xf>
    <xf numFmtId="171" fontId="3" fillId="0" borderId="32" xfId="0" applyNumberFormat="1" applyFont="1" applyFill="1" applyBorder="1" applyAlignment="1">
      <alignment/>
    </xf>
    <xf numFmtId="0" fontId="4" fillId="0" borderId="0" xfId="0" applyFont="1" applyFill="1" applyBorder="1" applyAlignment="1">
      <alignment horizontal="center" wrapText="1"/>
    </xf>
    <xf numFmtId="168" fontId="4" fillId="40" borderId="0" xfId="94" applyNumberFormat="1" applyFont="1" applyFill="1">
      <alignment/>
      <protection/>
    </xf>
    <xf numFmtId="2" fontId="4" fillId="40" borderId="0" xfId="94" applyNumberFormat="1" applyFont="1" applyFill="1">
      <alignment/>
      <protection/>
    </xf>
    <xf numFmtId="0" fontId="4" fillId="40" borderId="0" xfId="0" applyFont="1" applyFill="1" applyAlignment="1">
      <alignment/>
    </xf>
    <xf numFmtId="0" fontId="0" fillId="0" borderId="0" xfId="0" applyFill="1" applyBorder="1" applyAlignment="1">
      <alignment/>
    </xf>
    <xf numFmtId="168" fontId="4" fillId="33" borderId="0" xfId="94" applyNumberFormat="1" applyFont="1" applyFill="1">
      <alignment/>
      <protection/>
    </xf>
    <xf numFmtId="2" fontId="4" fillId="33" borderId="0" xfId="94" applyNumberFormat="1" applyFont="1" applyFill="1">
      <alignment/>
      <protection/>
    </xf>
    <xf numFmtId="0" fontId="0" fillId="0" borderId="0" xfId="0" applyFont="1" applyFill="1" applyBorder="1" applyAlignment="1">
      <alignment/>
    </xf>
    <xf numFmtId="0" fontId="0" fillId="0" borderId="0" xfId="0" applyFont="1" applyFill="1" applyAlignment="1">
      <alignment/>
    </xf>
    <xf numFmtId="0" fontId="0" fillId="0" borderId="0" xfId="0" applyAlignment="1">
      <alignment wrapText="1"/>
    </xf>
    <xf numFmtId="2" fontId="0" fillId="0" borderId="0" xfId="0" applyNumberFormat="1" applyAlignment="1">
      <alignment/>
    </xf>
    <xf numFmtId="11" fontId="0" fillId="0" borderId="0" xfId="0" applyNumberFormat="1" applyAlignment="1">
      <alignment/>
    </xf>
    <xf numFmtId="0" fontId="4" fillId="0" borderId="0" xfId="0" applyFont="1" applyAlignment="1">
      <alignment horizontal="center"/>
    </xf>
    <xf numFmtId="0" fontId="4" fillId="0" borderId="0" xfId="0" applyFont="1" applyFill="1" applyAlignment="1">
      <alignment horizontal="center"/>
    </xf>
  </cellXfs>
  <cellStyles count="130">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old GHG Numbers (0.00)" xfId="42"/>
    <cellStyle name="Calculation" xfId="43"/>
    <cellStyle name="Check Cell" xfId="44"/>
    <cellStyle name="Column heading" xfId="45"/>
    <cellStyle name="Comma" xfId="46"/>
    <cellStyle name="Comma [0]" xfId="47"/>
    <cellStyle name="Comma [0] 2" xfId="48"/>
    <cellStyle name="Comma [0] 3" xfId="49"/>
    <cellStyle name="Comma 2" xfId="50"/>
    <cellStyle name="Comma 2 2" xfId="51"/>
    <cellStyle name="Comma 3" xfId="52"/>
    <cellStyle name="Comma0" xfId="53"/>
    <cellStyle name="Corner heading" xfId="54"/>
    <cellStyle name="Cover" xfId="55"/>
    <cellStyle name="Currency" xfId="56"/>
    <cellStyle name="Currency [0]" xfId="57"/>
    <cellStyle name="Currency0" xfId="58"/>
    <cellStyle name="Data" xfId="59"/>
    <cellStyle name="Data no deci" xfId="60"/>
    <cellStyle name="Data Superscript" xfId="61"/>
    <cellStyle name="Data_1-1A-Regular" xfId="62"/>
    <cellStyle name="Data-one deci" xfId="63"/>
    <cellStyle name="Date" xfId="64"/>
    <cellStyle name="Explanatory Text" xfId="65"/>
    <cellStyle name="Fixed" xfId="66"/>
    <cellStyle name="Followed Hyperlink" xfId="67"/>
    <cellStyle name="Good" xfId="68"/>
    <cellStyle name="Heading 1" xfId="69"/>
    <cellStyle name="Heading 1 2" xfId="70"/>
    <cellStyle name="Heading 2" xfId="71"/>
    <cellStyle name="Heading 2 2" xfId="72"/>
    <cellStyle name="Heading 3" xfId="73"/>
    <cellStyle name="Heading 4" xfId="74"/>
    <cellStyle name="Headline" xfId="75"/>
    <cellStyle name="Hed Side" xfId="76"/>
    <cellStyle name="Hed Side bold" xfId="77"/>
    <cellStyle name="Hed Side Indent" xfId="78"/>
    <cellStyle name="Hed Side Regular" xfId="79"/>
    <cellStyle name="Hed Side_1-1A-Regular" xfId="80"/>
    <cellStyle name="Hed Top" xfId="81"/>
    <cellStyle name="Hed Top - SECTION" xfId="82"/>
    <cellStyle name="Hed Top_3-new4" xfId="83"/>
    <cellStyle name="Hyperlink" xfId="84"/>
    <cellStyle name="Hyperlink 2" xfId="85"/>
    <cellStyle name="Input" xfId="86"/>
    <cellStyle name="Linked Cell" xfId="87"/>
    <cellStyle name="Menu" xfId="88"/>
    <cellStyle name="Milliers [0]_Annex_comb_guideline_version4-2" xfId="89"/>
    <cellStyle name="Milliers_Annex_comb_guideline_version4-2" xfId="90"/>
    <cellStyle name="Monétaire [0]_Annex comb guideline 4-7" xfId="91"/>
    <cellStyle name="Monétaire_Annex_comb_guideline_version4-2" xfId="92"/>
    <cellStyle name="Neutral" xfId="93"/>
    <cellStyle name="Normal 2" xfId="94"/>
    <cellStyle name="Normal 3" xfId="95"/>
    <cellStyle name="Normal 4" xfId="96"/>
    <cellStyle name="Normal 5" xfId="97"/>
    <cellStyle name="Normal GHG Numbers (0.00)" xfId="98"/>
    <cellStyle name="Normal GHG Textfiels Bold" xfId="99"/>
    <cellStyle name="Normal GHG whole table" xfId="100"/>
    <cellStyle name="Normal GHG-Shade" xfId="101"/>
    <cellStyle name="Normal GHG-Shade 2" xfId="102"/>
    <cellStyle name="Normal_CL_Store_List (08.01.03)" xfId="103"/>
    <cellStyle name="Note" xfId="104"/>
    <cellStyle name="Output" xfId="105"/>
    <cellStyle name="Pattern" xfId="106"/>
    <cellStyle name="Percent" xfId="107"/>
    <cellStyle name="Percent 2" xfId="108"/>
    <cellStyle name="Percent 3" xfId="109"/>
    <cellStyle name="Reference" xfId="110"/>
    <cellStyle name="Row heading" xfId="111"/>
    <cellStyle name="Source Hed" xfId="112"/>
    <cellStyle name="Source Hed 2" xfId="113"/>
    <cellStyle name="Source Letter" xfId="114"/>
    <cellStyle name="Source Letter 2" xfId="115"/>
    <cellStyle name="Source Superscript" xfId="116"/>
    <cellStyle name="Source Text" xfId="117"/>
    <cellStyle name="Source Text 2" xfId="118"/>
    <cellStyle name="Standard_CRF Inventar" xfId="119"/>
    <cellStyle name="State" xfId="120"/>
    <cellStyle name="Superscript" xfId="121"/>
    <cellStyle name="Superscript- regular" xfId="122"/>
    <cellStyle name="Superscript_1-1A-Regular" xfId="123"/>
    <cellStyle name="Table Data" xfId="124"/>
    <cellStyle name="Table Head Top" xfId="125"/>
    <cellStyle name="Table Hed Side" xfId="126"/>
    <cellStyle name="Table Title" xfId="127"/>
    <cellStyle name="Title" xfId="128"/>
    <cellStyle name="Title Text" xfId="129"/>
    <cellStyle name="Title Text 1" xfId="130"/>
    <cellStyle name="Title Text 2" xfId="131"/>
    <cellStyle name="Title-1" xfId="132"/>
    <cellStyle name="Title-2" xfId="133"/>
    <cellStyle name="Title-3" xfId="134"/>
    <cellStyle name="Total" xfId="135"/>
    <cellStyle name="Total 2" xfId="136"/>
    <cellStyle name="Warning Text" xfId="137"/>
    <cellStyle name="Wrap" xfId="138"/>
    <cellStyle name="Wrap Bold" xfId="139"/>
    <cellStyle name="Wrap Title" xfId="140"/>
    <cellStyle name="Wrap_NTS99-~11" xfId="141"/>
    <cellStyle name="Year" xfId="142"/>
    <cellStyle name="標準_CRF1999"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xdr:row>
      <xdr:rowOff>95250</xdr:rowOff>
    </xdr:from>
    <xdr:to>
      <xdr:col>12</xdr:col>
      <xdr:colOff>571500</xdr:colOff>
      <xdr:row>24</xdr:row>
      <xdr:rowOff>19050</xdr:rowOff>
    </xdr:to>
    <xdr:pic>
      <xdr:nvPicPr>
        <xdr:cNvPr id="1" name="Picture 1"/>
        <xdr:cNvPicPr preferRelativeResize="1">
          <a:picLocks noChangeAspect="1"/>
        </xdr:cNvPicPr>
      </xdr:nvPicPr>
      <xdr:blipFill>
        <a:blip r:embed="rId1"/>
        <a:stretch>
          <a:fillRect/>
        </a:stretch>
      </xdr:blipFill>
      <xdr:spPr>
        <a:xfrm>
          <a:off x="3886200" y="257175"/>
          <a:ext cx="4876800" cy="400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21"/>
  <sheetViews>
    <sheetView tabSelected="1" zoomScalePageLayoutView="0" workbookViewId="0" topLeftCell="A1">
      <selection activeCell="Q6" sqref="Q6"/>
    </sheetView>
  </sheetViews>
  <sheetFormatPr defaultColWidth="11.421875" defaultRowHeight="12.75"/>
  <cols>
    <col min="1" max="1" width="21.28125" style="0" customWidth="1"/>
    <col min="2" max="2" width="8.421875" style="0" customWidth="1"/>
    <col min="3" max="4" width="11.421875" style="0" customWidth="1"/>
    <col min="5" max="5" width="9.00390625" style="0" bestFit="1" customWidth="1"/>
    <col min="6" max="6" width="6.421875" style="0" customWidth="1"/>
    <col min="7" max="7" width="6.8515625" style="0" customWidth="1"/>
    <col min="8" max="10" width="8.8515625" style="0" customWidth="1"/>
    <col min="11" max="11" width="9.28125" style="0" customWidth="1"/>
    <col min="12" max="13" width="8.8515625" style="0" customWidth="1"/>
    <col min="14" max="14" width="9.28125" style="0" customWidth="1"/>
    <col min="15" max="15" width="13.7109375" style="0" customWidth="1"/>
    <col min="16" max="16" width="10.7109375" style="0" customWidth="1"/>
  </cols>
  <sheetData>
    <row r="1" ht="12.75">
      <c r="A1" s="1" t="s">
        <v>7</v>
      </c>
    </row>
    <row r="2" ht="12.75">
      <c r="A2" s="67">
        <v>2010</v>
      </c>
    </row>
    <row r="3" spans="1:4" ht="12.75">
      <c r="A3" s="1"/>
      <c r="D3" s="72"/>
    </row>
    <row r="4" spans="1:16" ht="12.75">
      <c r="A4" s="35" t="s">
        <v>81</v>
      </c>
      <c r="B4" s="18"/>
      <c r="C4" s="38" t="s">
        <v>65</v>
      </c>
      <c r="D4" s="38" t="s">
        <v>60</v>
      </c>
      <c r="E4" s="111" t="s">
        <v>1</v>
      </c>
      <c r="F4" s="18"/>
      <c r="G4" s="19"/>
      <c r="H4" s="20"/>
      <c r="I4" s="14"/>
      <c r="J4" s="14"/>
      <c r="K4" s="14"/>
      <c r="L4" s="14"/>
      <c r="M4" s="14"/>
      <c r="N4" s="14"/>
      <c r="O4" s="14"/>
      <c r="P4" s="14"/>
    </row>
    <row r="5" spans="1:16" ht="12.75">
      <c r="A5" s="32" t="s">
        <v>82</v>
      </c>
      <c r="B5" s="20" t="s">
        <v>53</v>
      </c>
      <c r="C5" s="39">
        <f>Electricity!L24</f>
        <v>2522.569734621678</v>
      </c>
      <c r="D5" s="117">
        <f>Electricity!L25</f>
        <v>819.5066970187472</v>
      </c>
      <c r="E5" s="82">
        <f>Electricity!L23</f>
        <v>3342.076431640425</v>
      </c>
      <c r="F5" s="116">
        <f>E5/$E$8</f>
        <v>0.8554708423238575</v>
      </c>
      <c r="G5" s="21" t="s">
        <v>115</v>
      </c>
      <c r="H5" s="52"/>
      <c r="I5" s="14"/>
      <c r="J5" s="14"/>
      <c r="K5" s="14"/>
      <c r="L5" s="14"/>
      <c r="M5" s="14"/>
      <c r="N5" s="14"/>
      <c r="O5" s="14"/>
      <c r="P5" s="14"/>
    </row>
    <row r="6" spans="1:16" ht="12.75">
      <c r="A6" s="32" t="s">
        <v>83</v>
      </c>
      <c r="B6" s="20" t="s">
        <v>53</v>
      </c>
      <c r="C6" s="39">
        <f>SUMIF('Stationary Combustion'!B11:B19,"US",'Stationary Combustion'!L11:L19)</f>
        <v>386.2309389593572</v>
      </c>
      <c r="D6" s="39">
        <f>E6-C6</f>
        <v>167.02694144405564</v>
      </c>
      <c r="E6" s="83">
        <f>'Stationary Combustion'!L20</f>
        <v>553.2578804034129</v>
      </c>
      <c r="F6" s="116">
        <f>E6/$E$8</f>
        <v>0.14161734318526847</v>
      </c>
      <c r="G6" s="21"/>
      <c r="H6" s="52"/>
      <c r="I6" s="14"/>
      <c r="J6" s="14"/>
      <c r="K6" s="14"/>
      <c r="L6" s="14"/>
      <c r="M6" s="14"/>
      <c r="N6" s="14"/>
      <c r="O6" s="14"/>
      <c r="P6" s="14"/>
    </row>
    <row r="7" spans="1:16" ht="12.75">
      <c r="A7" s="32" t="s">
        <v>84</v>
      </c>
      <c r="B7" s="20" t="s">
        <v>53</v>
      </c>
      <c r="C7" s="39">
        <f>SUMIF('Mobile Sources'!B9:B17,"US",'Mobile Sources'!M9:M17)</f>
        <v>9.548396190142862</v>
      </c>
      <c r="D7" s="118">
        <f>E7-C7</f>
        <v>1.8272183858300348</v>
      </c>
      <c r="E7" s="84">
        <f>'Mobile Sources'!M18</f>
        <v>11.375614575972897</v>
      </c>
      <c r="F7" s="116">
        <f>E7/$E$8</f>
        <v>0.0029118144908740077</v>
      </c>
      <c r="G7" s="21"/>
      <c r="H7" s="52"/>
      <c r="I7" s="14"/>
      <c r="J7" s="14"/>
      <c r="K7" s="14"/>
      <c r="L7" s="14"/>
      <c r="M7" s="14"/>
      <c r="N7" s="14"/>
      <c r="O7" s="14"/>
      <c r="P7" s="14"/>
    </row>
    <row r="8" spans="1:16" ht="12.75">
      <c r="A8" s="33" t="s">
        <v>37</v>
      </c>
      <c r="B8" s="22"/>
      <c r="C8" s="51">
        <f>SUM(C5:C7)</f>
        <v>2918.3490697711777</v>
      </c>
      <c r="D8" s="51">
        <f>SUM(D5:D7)</f>
        <v>988.3608568486329</v>
      </c>
      <c r="E8" s="89">
        <f>SUM(E5:E7)</f>
        <v>3906.709926619811</v>
      </c>
      <c r="F8" s="81" t="s">
        <v>53</v>
      </c>
      <c r="G8" s="23"/>
      <c r="H8" s="20"/>
      <c r="I8" s="14"/>
      <c r="J8" s="14"/>
      <c r="K8" s="14"/>
      <c r="L8" s="14"/>
      <c r="M8" s="14"/>
      <c r="N8" s="14"/>
      <c r="O8" s="14"/>
      <c r="P8" s="14"/>
    </row>
    <row r="9" spans="1:16" s="36" customFormat="1" ht="12.75">
      <c r="A9" s="32" t="s">
        <v>38</v>
      </c>
      <c r="B9" s="21"/>
      <c r="C9" s="112">
        <f>Electricity!M29</f>
        <v>2522.569734621678</v>
      </c>
      <c r="D9" s="120">
        <f>Electricity!N29</f>
        <v>819.5066970187472</v>
      </c>
      <c r="E9" s="97">
        <f>SUM(C9:D9)</f>
        <v>3342.076431640425</v>
      </c>
      <c r="F9" s="98" t="s">
        <v>53</v>
      </c>
      <c r="G9" s="21"/>
      <c r="H9" s="20"/>
      <c r="I9" s="49"/>
      <c r="J9" s="49"/>
      <c r="K9" s="49"/>
      <c r="L9" s="49"/>
      <c r="M9" s="49"/>
      <c r="N9" s="49"/>
      <c r="O9" s="49"/>
      <c r="P9" s="49"/>
    </row>
    <row r="10" spans="1:16" s="36" customFormat="1" ht="12.75">
      <c r="A10" s="32" t="s">
        <v>47</v>
      </c>
      <c r="B10" s="20"/>
      <c r="C10" s="97">
        <f>MIN(700,SUM('Stationary Combustion'!L11:L16,'Mobile Sources'!M9:M15))</f>
        <v>395.77933514950007</v>
      </c>
      <c r="D10" s="97">
        <f>MIN(700-C10,SUM('Stationary Combustion'!L17:L19,'Mobile Sources'!M16:M17))</f>
        <v>168.8541598298857</v>
      </c>
      <c r="E10" s="97">
        <f>SUM(C10:D10)</f>
        <v>564.6334949793858</v>
      </c>
      <c r="F10" s="98" t="s">
        <v>53</v>
      </c>
      <c r="G10" s="21"/>
      <c r="H10" s="20" t="s">
        <v>48</v>
      </c>
      <c r="I10" s="49"/>
      <c r="J10" s="49"/>
      <c r="K10" s="49"/>
      <c r="L10" s="49"/>
      <c r="M10" s="49"/>
      <c r="N10" s="49"/>
      <c r="O10" s="49"/>
      <c r="P10" s="49"/>
    </row>
    <row r="11" spans="1:16" s="36" customFormat="1" ht="12.75">
      <c r="A11" s="34" t="s">
        <v>39</v>
      </c>
      <c r="B11" s="24"/>
      <c r="C11" s="101">
        <f>C8-C9-C10</f>
        <v>0</v>
      </c>
      <c r="D11" s="101">
        <f>D8-D9-D10</f>
        <v>0</v>
      </c>
      <c r="E11" s="101">
        <f>E8-E9-E10</f>
        <v>0</v>
      </c>
      <c r="F11" s="69" t="s">
        <v>53</v>
      </c>
      <c r="G11" s="25"/>
      <c r="H11" s="20"/>
      <c r="I11" s="49"/>
      <c r="J11" s="49"/>
      <c r="K11" s="49"/>
      <c r="L11" s="49"/>
      <c r="M11" s="49"/>
      <c r="N11" s="49"/>
      <c r="O11" s="49"/>
      <c r="P11" s="49"/>
    </row>
    <row r="12" s="36" customFormat="1" ht="12.75">
      <c r="A12" s="71"/>
    </row>
    <row r="13" spans="1:7" s="36" customFormat="1" ht="12.75">
      <c r="A13" s="102" t="s">
        <v>50</v>
      </c>
      <c r="B13" s="103"/>
      <c r="C13" s="104">
        <f>Electricity!E29</f>
        <v>8000000</v>
      </c>
      <c r="D13" s="104"/>
      <c r="E13" s="104">
        <f>SUM(C13:D13)</f>
        <v>8000000</v>
      </c>
      <c r="F13" s="105" t="s">
        <v>51</v>
      </c>
      <c r="G13" s="106"/>
    </row>
    <row r="14" spans="1:4" s="36" customFormat="1" ht="12.75">
      <c r="A14" s="71"/>
      <c r="B14" s="71"/>
      <c r="C14" s="71"/>
      <c r="D14" s="71"/>
    </row>
    <row r="15" spans="1:7" s="36" customFormat="1" ht="12.75">
      <c r="A15" s="71" t="s">
        <v>127</v>
      </c>
      <c r="B15"/>
      <c r="C15"/>
      <c r="D15"/>
      <c r="E15"/>
      <c r="F15"/>
      <c r="G15"/>
    </row>
    <row r="16" spans="1:7" s="36" customFormat="1" ht="12.75">
      <c r="A16" s="70"/>
      <c r="B16"/>
      <c r="C16"/>
      <c r="D16"/>
      <c r="E16"/>
      <c r="F16"/>
      <c r="G16"/>
    </row>
    <row r="17" spans="1:7" s="36" customFormat="1" ht="12.75">
      <c r="A17" s="52" t="s">
        <v>166</v>
      </c>
      <c r="B17"/>
      <c r="C17"/>
      <c r="D17"/>
      <c r="E17"/>
      <c r="F17"/>
      <c r="G17"/>
    </row>
    <row r="18" spans="1:7" s="36" customFormat="1" ht="12.75">
      <c r="A18" s="70"/>
      <c r="B18"/>
      <c r="C18"/>
      <c r="D18"/>
      <c r="E18"/>
      <c r="F18"/>
      <c r="G18"/>
    </row>
    <row r="19" s="36" customFormat="1" ht="12.75">
      <c r="A19" s="113" t="s">
        <v>49</v>
      </c>
    </row>
    <row r="20" spans="1:17" ht="12.75">
      <c r="A20" s="49" t="s">
        <v>211</v>
      </c>
      <c r="K20" s="36"/>
      <c r="L20" s="36"/>
      <c r="M20" s="36"/>
      <c r="N20" s="36"/>
      <c r="O20" s="36"/>
      <c r="P20" s="36"/>
      <c r="Q20" s="36"/>
    </row>
    <row r="21" ht="12.75">
      <c r="A21" s="20" t="s">
        <v>212</v>
      </c>
    </row>
  </sheetData>
  <sheetProtection/>
  <printOptions/>
  <pageMargins left="0.75" right="0.75" top="1" bottom="1" header="0.5" footer="0.5"/>
  <pageSetup fitToHeight="1" fitToWidth="1" orientation="landscape" scale="98" r:id="rId1"/>
</worksheet>
</file>

<file path=xl/worksheets/sheet2.xml><?xml version="1.0" encoding="utf-8"?>
<worksheet xmlns="http://schemas.openxmlformats.org/spreadsheetml/2006/main" xmlns:r="http://schemas.openxmlformats.org/officeDocument/2006/relationships">
  <dimension ref="A1:N35"/>
  <sheetViews>
    <sheetView zoomScalePageLayoutView="0" workbookViewId="0" topLeftCell="A1">
      <selection activeCell="A3" sqref="A3"/>
    </sheetView>
  </sheetViews>
  <sheetFormatPr defaultColWidth="9.140625" defaultRowHeight="12.75"/>
  <cols>
    <col min="1" max="1" width="30.00390625" style="0" customWidth="1"/>
    <col min="2" max="2" width="10.421875" style="0" customWidth="1"/>
    <col min="3" max="3" width="15.28125" style="0" customWidth="1"/>
    <col min="4" max="4" width="9.28125" style="0" customWidth="1"/>
    <col min="5" max="5" width="11.421875" style="0" customWidth="1"/>
    <col min="6" max="8" width="7.7109375" style="0" customWidth="1"/>
    <col min="9" max="11" width="9.421875" style="0" customWidth="1"/>
    <col min="12" max="12" width="10.00390625" style="0" customWidth="1"/>
    <col min="13" max="13" width="26.57421875" style="0" customWidth="1"/>
    <col min="14" max="14" width="25.140625" style="0" customWidth="1"/>
  </cols>
  <sheetData>
    <row r="1" spans="1:4" ht="12.75">
      <c r="A1" s="1" t="s">
        <v>104</v>
      </c>
      <c r="B1" s="1"/>
      <c r="C1" s="1"/>
      <c r="D1" s="14"/>
    </row>
    <row r="2" spans="1:11" ht="12.75">
      <c r="A2" s="67">
        <f>'Grand Totals'!$A$2</f>
        <v>2010</v>
      </c>
      <c r="B2" s="67"/>
      <c r="C2" s="1"/>
      <c r="D2" s="14"/>
      <c r="J2" s="54" t="s">
        <v>90</v>
      </c>
      <c r="K2" s="55"/>
    </row>
    <row r="3" spans="4:11" ht="12.75">
      <c r="D3" s="1"/>
      <c r="I3" s="28"/>
      <c r="J3" s="12" t="s">
        <v>85</v>
      </c>
      <c r="K3" s="12" t="s">
        <v>86</v>
      </c>
    </row>
    <row r="4" spans="4:11" ht="12.75">
      <c r="D4" s="1"/>
      <c r="J4" s="12">
        <v>21</v>
      </c>
      <c r="K4" s="12">
        <v>310</v>
      </c>
    </row>
    <row r="5" spans="1:8" ht="12.75">
      <c r="A5" s="14"/>
      <c r="B5" s="14"/>
      <c r="C5" s="14"/>
      <c r="D5" s="6"/>
      <c r="E5" s="15"/>
      <c r="F5" s="154" t="s">
        <v>77</v>
      </c>
      <c r="G5" s="154"/>
      <c r="H5" s="154"/>
    </row>
    <row r="6" spans="1:14" ht="36">
      <c r="A6" s="10" t="s">
        <v>112</v>
      </c>
      <c r="B6" s="10" t="s">
        <v>6</v>
      </c>
      <c r="C6" s="10" t="s">
        <v>62</v>
      </c>
      <c r="D6" s="11" t="s">
        <v>117</v>
      </c>
      <c r="E6" s="11" t="s">
        <v>113</v>
      </c>
      <c r="F6" s="11" t="s">
        <v>78</v>
      </c>
      <c r="G6" s="11" t="s">
        <v>79</v>
      </c>
      <c r="H6" s="11" t="s">
        <v>80</v>
      </c>
      <c r="I6" s="11" t="s">
        <v>52</v>
      </c>
      <c r="J6" s="11" t="s">
        <v>44</v>
      </c>
      <c r="K6" s="11" t="s">
        <v>45</v>
      </c>
      <c r="L6" s="75" t="s">
        <v>170</v>
      </c>
      <c r="M6" s="142" t="s">
        <v>184</v>
      </c>
      <c r="N6" s="142" t="s">
        <v>189</v>
      </c>
    </row>
    <row r="7" spans="1:13" s="36" customFormat="1" ht="12.75">
      <c r="A7" s="58" t="s">
        <v>118</v>
      </c>
      <c r="B7" s="91" t="s">
        <v>65</v>
      </c>
      <c r="C7" s="58" t="s">
        <v>100</v>
      </c>
      <c r="D7" s="85" t="s">
        <v>140</v>
      </c>
      <c r="E7" s="96">
        <v>2564738</v>
      </c>
      <c r="F7" s="110">
        <f>VLOOKUP($D7,'Emission factors'!$A$4:$E$36,3,FALSE)</f>
        <v>681.01</v>
      </c>
      <c r="G7" s="92">
        <f>VLOOKUP($D7,'Emission factors'!$A$4:$E$36,4,FALSE)</f>
        <v>0.02829</v>
      </c>
      <c r="H7" s="92">
        <f>VLOOKUP($D7,'Emission factors'!$A$4:$E$36,5,FALSE)</f>
        <v>0.00623</v>
      </c>
      <c r="I7" s="93">
        <f>$E7/1000*F7/2205</f>
        <v>792.1143879274376</v>
      </c>
      <c r="J7" s="93">
        <f>$E7/1000*G7/2.205</f>
        <v>32.905414068027206</v>
      </c>
      <c r="K7" s="93">
        <f>$E7/1000*H7/2.205</f>
        <v>7.2464026031746025</v>
      </c>
      <c r="L7" s="64">
        <f>I7+J7/1000*$J$4+K7/1000*$K$4</f>
        <v>795.0517864298503</v>
      </c>
      <c r="M7" s="36" t="s">
        <v>196</v>
      </c>
    </row>
    <row r="8" spans="1:14" s="36" customFormat="1" ht="42.75" customHeight="1">
      <c r="A8" s="58" t="s">
        <v>119</v>
      </c>
      <c r="B8" s="91" t="s">
        <v>65</v>
      </c>
      <c r="C8" s="58" t="s">
        <v>100</v>
      </c>
      <c r="D8" s="85" t="s">
        <v>140</v>
      </c>
      <c r="E8" s="27">
        <f>771502+149280</f>
        <v>920782</v>
      </c>
      <c r="F8" s="110">
        <f>VLOOKUP($D8,'Emission factors'!$A$4:$E$36,3,FALSE)</f>
        <v>681.01</v>
      </c>
      <c r="G8" s="92">
        <f>VLOOKUP($D8,'Emission factors'!$A$4:$E$36,4,FALSE)</f>
        <v>0.02829</v>
      </c>
      <c r="H8" s="92">
        <f>VLOOKUP($D8,'Emission factors'!$A$4:$E$36,5,FALSE)</f>
        <v>0.00623</v>
      </c>
      <c r="I8" s="93">
        <f aca="true" t="shared" si="0" ref="I8:I22">$E8/1000*F8/2205</f>
        <v>284.3817459501134</v>
      </c>
      <c r="J8" s="93">
        <f aca="true" t="shared" si="1" ref="J8:J22">$E8/1000*G8/2.205</f>
        <v>11.813570421768707</v>
      </c>
      <c r="K8" s="93">
        <f aca="true" t="shared" si="2" ref="K8:K22">$E8/1000*H8/2.205</f>
        <v>2.60157453968254</v>
      </c>
      <c r="L8" s="64">
        <f aca="true" t="shared" si="3" ref="L8:L22">I8+J8/1000*$J$4+K8/1000*$K$4</f>
        <v>285.4363190362721</v>
      </c>
      <c r="M8" s="73" t="s">
        <v>198</v>
      </c>
      <c r="N8" s="123"/>
    </row>
    <row r="9" spans="1:12" s="36" customFormat="1" ht="12.75">
      <c r="A9" s="58" t="s">
        <v>120</v>
      </c>
      <c r="B9" s="91" t="s">
        <v>65</v>
      </c>
      <c r="C9" s="58" t="s">
        <v>100</v>
      </c>
      <c r="D9" s="85" t="s">
        <v>140</v>
      </c>
      <c r="E9" s="27">
        <v>0</v>
      </c>
      <c r="F9" s="110">
        <f>VLOOKUP($D9,'Emission factors'!$A$4:$E$36,3,FALSE)</f>
        <v>681.01</v>
      </c>
      <c r="G9" s="92">
        <f>VLOOKUP($D9,'Emission factors'!$A$4:$E$36,4,FALSE)</f>
        <v>0.02829</v>
      </c>
      <c r="H9" s="92">
        <f>VLOOKUP($D9,'Emission factors'!$A$4:$E$36,5,FALSE)</f>
        <v>0.00623</v>
      </c>
      <c r="I9" s="93">
        <f t="shared" si="0"/>
        <v>0</v>
      </c>
      <c r="J9" s="93">
        <f t="shared" si="1"/>
        <v>0</v>
      </c>
      <c r="K9" s="93">
        <f t="shared" si="2"/>
        <v>0</v>
      </c>
      <c r="L9" s="64">
        <f t="shared" si="3"/>
        <v>0</v>
      </c>
    </row>
    <row r="10" spans="1:12" s="36" customFormat="1" ht="12.75">
      <c r="A10" s="58" t="s">
        <v>121</v>
      </c>
      <c r="B10" s="91" t="s">
        <v>65</v>
      </c>
      <c r="C10" s="58" t="s">
        <v>99</v>
      </c>
      <c r="D10" s="85" t="s">
        <v>18</v>
      </c>
      <c r="E10" s="27">
        <v>0</v>
      </c>
      <c r="F10" s="110">
        <f>VLOOKUP($D10,'Emission factors'!$A$4:$E$36,3,FALSE)</f>
        <v>1551.52</v>
      </c>
      <c r="G10" s="92">
        <f>VLOOKUP($D10,'Emission factors'!$A$4:$E$36,4,FALSE)</f>
        <v>0.01837</v>
      </c>
      <c r="H10" s="92">
        <f>VLOOKUP($D10,'Emission factors'!$A$4:$E$36,5,FALSE)</f>
        <v>0.02593</v>
      </c>
      <c r="I10" s="93">
        <f t="shared" si="0"/>
        <v>0</v>
      </c>
      <c r="J10" s="93">
        <f t="shared" si="1"/>
        <v>0</v>
      </c>
      <c r="K10" s="93">
        <f t="shared" si="2"/>
        <v>0</v>
      </c>
      <c r="L10" s="64">
        <f t="shared" si="3"/>
        <v>0</v>
      </c>
    </row>
    <row r="11" spans="1:12" s="36" customFormat="1" ht="12.75">
      <c r="A11" s="58" t="s">
        <v>122</v>
      </c>
      <c r="B11" s="91" t="s">
        <v>65</v>
      </c>
      <c r="C11" s="58" t="s">
        <v>101</v>
      </c>
      <c r="D11" s="85" t="s">
        <v>14</v>
      </c>
      <c r="E11" s="27">
        <v>0</v>
      </c>
      <c r="F11" s="110">
        <f>VLOOKUP($D11,'Emission factors'!$A$4:$E$36,3,FALSE)</f>
        <v>1059.32</v>
      </c>
      <c r="G11" s="92">
        <f>VLOOKUP($D11,'Emission factors'!$A$4:$E$36,4,FALSE)</f>
        <v>0.0274</v>
      </c>
      <c r="H11" s="92">
        <f>VLOOKUP($D11,'Emission factors'!$A$4:$E$36,5,FALSE)</f>
        <v>0.01703</v>
      </c>
      <c r="I11" s="93">
        <f t="shared" si="0"/>
        <v>0</v>
      </c>
      <c r="J11" s="93">
        <f t="shared" si="1"/>
        <v>0</v>
      </c>
      <c r="K11" s="93">
        <f t="shared" si="2"/>
        <v>0</v>
      </c>
      <c r="L11" s="64">
        <f t="shared" si="3"/>
        <v>0</v>
      </c>
    </row>
    <row r="12" spans="1:13" s="36" customFormat="1" ht="12.75">
      <c r="A12" s="58" t="s">
        <v>128</v>
      </c>
      <c r="B12" s="91" t="s">
        <v>65</v>
      </c>
      <c r="C12" s="58" t="s">
        <v>129</v>
      </c>
      <c r="D12" s="85" t="s">
        <v>18</v>
      </c>
      <c r="E12" s="27">
        <v>2038400</v>
      </c>
      <c r="F12" s="110">
        <f>VLOOKUP($D12,'Emission factors'!$A$4:$E$36,3,FALSE)</f>
        <v>1551.52</v>
      </c>
      <c r="G12" s="92">
        <f>VLOOKUP($D12,'Emission factors'!$A$4:$E$36,4,FALSE)</f>
        <v>0.01837</v>
      </c>
      <c r="H12" s="92">
        <f>VLOOKUP($D12,'Emission factors'!$A$4:$E$36,5,FALSE)</f>
        <v>0.02593</v>
      </c>
      <c r="I12" s="93">
        <f t="shared" si="0"/>
        <v>1434.2940444444446</v>
      </c>
      <c r="J12" s="93">
        <f t="shared" si="1"/>
        <v>16.982044444444444</v>
      </c>
      <c r="K12" s="93">
        <f t="shared" si="2"/>
        <v>23.970844444444445</v>
      </c>
      <c r="L12" s="64">
        <f t="shared" si="3"/>
        <v>1442.0816291555557</v>
      </c>
      <c r="M12" s="36" t="s">
        <v>183</v>
      </c>
    </row>
    <row r="13" spans="1:13" s="36" customFormat="1" ht="12.75">
      <c r="A13" s="58" t="s">
        <v>61</v>
      </c>
      <c r="B13" s="91" t="s">
        <v>55</v>
      </c>
      <c r="C13" s="58" t="s">
        <v>63</v>
      </c>
      <c r="D13" s="85" t="s">
        <v>63</v>
      </c>
      <c r="E13" s="27">
        <v>119115</v>
      </c>
      <c r="F13" s="110">
        <f>VLOOKUP($D13,'Emission factors'!$A$4:$E$36,3,FALSE)</f>
        <v>352.8</v>
      </c>
      <c r="G13" s="92">
        <f>VLOOKUP($D13,'Emission factors'!$A$4:$E$36,4,FALSE)</f>
        <v>0.02205</v>
      </c>
      <c r="H13" s="92">
        <f>VLOOKUP($D13,'Emission factors'!$A$4:$E$36,5,FALSE)</f>
        <v>0.006615</v>
      </c>
      <c r="I13" s="93">
        <f t="shared" si="0"/>
        <v>19.0584</v>
      </c>
      <c r="J13" s="93">
        <f t="shared" si="1"/>
        <v>1.19115</v>
      </c>
      <c r="K13" s="93">
        <f t="shared" si="2"/>
        <v>0.357345</v>
      </c>
      <c r="L13" s="64">
        <f t="shared" si="3"/>
        <v>19.1941911</v>
      </c>
      <c r="M13" s="36" t="s">
        <v>195</v>
      </c>
    </row>
    <row r="14" spans="1:13" s="36" customFormat="1" ht="12.75">
      <c r="A14" s="58" t="s">
        <v>10</v>
      </c>
      <c r="B14" s="91" t="s">
        <v>56</v>
      </c>
      <c r="C14" s="58" t="s">
        <v>64</v>
      </c>
      <c r="D14" s="85" t="s">
        <v>56</v>
      </c>
      <c r="E14" s="27">
        <v>69254</v>
      </c>
      <c r="F14" s="110">
        <f>VLOOKUP($D14,'Emission factors'!$A$4:$E$36,3,FALSE)</f>
        <v>1642.37</v>
      </c>
      <c r="G14" s="92">
        <f>VLOOKUP($D14,'Emission factors'!$A$4:$E$36,4,FALSE)</f>
        <v>0.0322</v>
      </c>
      <c r="H14" s="92">
        <f>VLOOKUP($D14,'Emission factors'!$A$4:$E$36,5,FALSE)</f>
        <v>0.0406</v>
      </c>
      <c r="I14" s="93">
        <f>$E14/1000*F14/2205</f>
        <v>51.58308026303855</v>
      </c>
      <c r="J14" s="93">
        <f>$E14/1000*G14/2.205</f>
        <v>1.011328253968254</v>
      </c>
      <c r="K14" s="93">
        <f>$E14/1000*H14/2.205</f>
        <v>1.275153015873016</v>
      </c>
      <c r="L14" s="64">
        <f>I14+J14/1000*$J$4+K14/1000*$K$4</f>
        <v>51.999615591292525</v>
      </c>
      <c r="M14" s="36" t="s">
        <v>185</v>
      </c>
    </row>
    <row r="15" spans="1:14" s="36" customFormat="1" ht="12.75">
      <c r="A15" s="58" t="s">
        <v>9</v>
      </c>
      <c r="B15" s="91" t="s">
        <v>56</v>
      </c>
      <c r="C15" s="58" t="s">
        <v>64</v>
      </c>
      <c r="D15" s="85" t="s">
        <v>56</v>
      </c>
      <c r="E15" s="27">
        <v>95060</v>
      </c>
      <c r="F15" s="110">
        <f>VLOOKUP($D15,'Emission factors'!$A$4:$E$36,3,FALSE)</f>
        <v>1642.37</v>
      </c>
      <c r="G15" s="92">
        <f>VLOOKUP($D15,'Emission factors'!$A$4:$E$36,4,FALSE)</f>
        <v>0.0322</v>
      </c>
      <c r="H15" s="92">
        <f>VLOOKUP($D15,'Emission factors'!$A$4:$E$36,5,FALSE)</f>
        <v>0.0406</v>
      </c>
      <c r="I15" s="93">
        <f t="shared" si="0"/>
        <v>70.80439555555554</v>
      </c>
      <c r="J15" s="93">
        <f t="shared" si="1"/>
        <v>1.3881777777777777</v>
      </c>
      <c r="K15" s="93">
        <f t="shared" si="2"/>
        <v>1.750311111111111</v>
      </c>
      <c r="L15" s="64">
        <f t="shared" si="3"/>
        <v>71.37614373333332</v>
      </c>
      <c r="M15" s="36" t="s">
        <v>185</v>
      </c>
      <c r="N15" s="36" t="s">
        <v>200</v>
      </c>
    </row>
    <row r="16" spans="1:13" s="36" customFormat="1" ht="12.75">
      <c r="A16" s="58" t="s">
        <v>172</v>
      </c>
      <c r="B16" s="91" t="s">
        <v>56</v>
      </c>
      <c r="C16" s="58" t="s">
        <v>173</v>
      </c>
      <c r="D16" s="85" t="s">
        <v>56</v>
      </c>
      <c r="E16" s="27">
        <v>46766</v>
      </c>
      <c r="F16" s="110">
        <f>VLOOKUP($D16,'Emission factors'!$A$4:$E$36,3,FALSE)</f>
        <v>1642.37</v>
      </c>
      <c r="G16" s="92">
        <f>VLOOKUP($D16,'Emission factors'!$A$4:$E$36,4,FALSE)</f>
        <v>0.0322</v>
      </c>
      <c r="H16" s="92">
        <f>VLOOKUP($D16,'Emission factors'!$A$4:$E$36,5,FALSE)</f>
        <v>0.0406</v>
      </c>
      <c r="I16" s="93">
        <f>$E16/1000*F16/2205</f>
        <v>34.83314078004535</v>
      </c>
      <c r="J16" s="93">
        <f>$E16/1000*G16/2.205</f>
        <v>0.6829320634920635</v>
      </c>
      <c r="K16" s="93">
        <f>$E16/1000*H16/2.205</f>
        <v>0.8610882539682538</v>
      </c>
      <c r="L16" s="64">
        <f>I16+J16/1000*$J$4+K16/1000*$K$4</f>
        <v>35.11441971210884</v>
      </c>
      <c r="M16" s="36" t="s">
        <v>185</v>
      </c>
    </row>
    <row r="17" spans="1:14" s="36" customFormat="1" ht="12.75">
      <c r="A17" s="58" t="s">
        <v>186</v>
      </c>
      <c r="B17" s="91" t="s">
        <v>56</v>
      </c>
      <c r="C17" s="58" t="s">
        <v>187</v>
      </c>
      <c r="D17" s="85" t="s">
        <v>56</v>
      </c>
      <c r="E17" s="122">
        <v>4114</v>
      </c>
      <c r="F17" s="110">
        <f>VLOOKUP($D17,'Emission factors'!$A$4:$E$36,3,FALSE)</f>
        <v>1642.37</v>
      </c>
      <c r="G17" s="92">
        <f>VLOOKUP($D17,'Emission factors'!$A$4:$E$36,4,FALSE)</f>
        <v>0.0322</v>
      </c>
      <c r="H17" s="92">
        <f>VLOOKUP($D17,'Emission factors'!$A$4:$E$36,5,FALSE)</f>
        <v>0.0406</v>
      </c>
      <c r="I17" s="93">
        <f>$E17/1000*F17/2205</f>
        <v>3.064267655328798</v>
      </c>
      <c r="J17" s="93">
        <f>$E17/1000*G17/2.205</f>
        <v>0.060077460317460314</v>
      </c>
      <c r="K17" s="93">
        <f>$E17/1000*H17/2.205</f>
        <v>0.07574984126984126</v>
      </c>
      <c r="L17" s="64">
        <f>I17+J17/1000*$J$4+K17/1000*$K$4</f>
        <v>3.0890117327891153</v>
      </c>
      <c r="M17" s="36" t="s">
        <v>185</v>
      </c>
      <c r="N17" s="36" t="s">
        <v>199</v>
      </c>
    </row>
    <row r="18" spans="1:13" s="36" customFormat="1" ht="12.75">
      <c r="A18" s="58" t="s">
        <v>67</v>
      </c>
      <c r="B18" s="91" t="s">
        <v>57</v>
      </c>
      <c r="C18" s="58" t="s">
        <v>68</v>
      </c>
      <c r="D18" s="85" t="s">
        <v>57</v>
      </c>
      <c r="E18" s="27">
        <v>93217.67234</v>
      </c>
      <c r="F18" s="110">
        <f>VLOOKUP($D18,'Emission factors'!$A$4:$E$36,3,FALSE)</f>
        <v>1446.3</v>
      </c>
      <c r="G18" s="92">
        <f>VLOOKUP($D18,'Emission factors'!$A$4:$E$36,4,FALSE)</f>
        <v>0.0437</v>
      </c>
      <c r="H18" s="92">
        <f>VLOOKUP($D18,'Emission factors'!$A$4:$E$36,5,FALSE)</f>
        <v>0.0082</v>
      </c>
      <c r="I18" s="93">
        <f t="shared" si="0"/>
        <v>61.1431834491347</v>
      </c>
      <c r="J18" s="93">
        <f t="shared" si="1"/>
        <v>1.8474432114548756</v>
      </c>
      <c r="K18" s="93">
        <f t="shared" si="2"/>
        <v>0.34665982457505673</v>
      </c>
      <c r="L18" s="64">
        <f t="shared" si="3"/>
        <v>61.28944430219352</v>
      </c>
      <c r="M18" s="36" t="s">
        <v>193</v>
      </c>
    </row>
    <row r="19" spans="1:14" s="36" customFormat="1" ht="12.75">
      <c r="A19" s="58" t="s">
        <v>70</v>
      </c>
      <c r="B19" s="91" t="s">
        <v>59</v>
      </c>
      <c r="C19" s="58" t="s">
        <v>71</v>
      </c>
      <c r="D19" s="85" t="s">
        <v>59</v>
      </c>
      <c r="E19" s="27">
        <v>34985</v>
      </c>
      <c r="F19" s="110">
        <f>VLOOKUP($D19,'Emission factors'!$A$4:$E$36,3,FALSE)</f>
        <v>970.12</v>
      </c>
      <c r="G19" s="92">
        <f>VLOOKUP($D19,'Emission factors'!$A$4:$E$36,4,FALSE)</f>
        <v>0.037</v>
      </c>
      <c r="H19" s="92">
        <f>VLOOKUP($D19,'Emission factors'!$A$4:$E$36,5,FALSE)</f>
        <v>0.0051</v>
      </c>
      <c r="I19" s="93">
        <f t="shared" si="0"/>
        <v>15.392130702947844</v>
      </c>
      <c r="J19" s="93">
        <f t="shared" si="1"/>
        <v>0.5870498866213151</v>
      </c>
      <c r="K19" s="93">
        <f t="shared" si="2"/>
        <v>0.08091768707482994</v>
      </c>
      <c r="L19" s="64">
        <f t="shared" si="3"/>
        <v>15.42954323356009</v>
      </c>
      <c r="M19" s="123" t="s">
        <v>188</v>
      </c>
      <c r="N19" s="123" t="s">
        <v>190</v>
      </c>
    </row>
    <row r="20" spans="1:13" s="36" customFormat="1" ht="12.75">
      <c r="A20" s="58" t="s">
        <v>3</v>
      </c>
      <c r="B20" s="91" t="s">
        <v>2</v>
      </c>
      <c r="C20" s="58"/>
      <c r="D20" s="85" t="s">
        <v>2</v>
      </c>
      <c r="E20" s="27">
        <v>524469</v>
      </c>
      <c r="F20" s="110">
        <f>VLOOKUP($D20,'Emission factors'!$A$4:$E$36,3,FALSE)</f>
        <v>962.38</v>
      </c>
      <c r="G20" s="92">
        <f>VLOOKUP($D20,'Emission factors'!$A$4:$E$36,4,FALSE)</f>
        <v>0.0185</v>
      </c>
      <c r="H20" s="92">
        <f>VLOOKUP($D20,'Emission factors'!$A$4:$E$36,5,FALSE)</f>
        <v>0.0104</v>
      </c>
      <c r="I20" s="93">
        <f>$E20/1000*F20/2205</f>
        <v>228.90633842176874</v>
      </c>
      <c r="J20" s="93">
        <f>$E20/1000*G20/2.205</f>
        <v>4.400306802721088</v>
      </c>
      <c r="K20" s="93">
        <f>$E20/1000*H20/2.205</f>
        <v>2.473685986394558</v>
      </c>
      <c r="L20" s="64">
        <f>I20+J20/1000*$J$4+K20/1000*$K$4</f>
        <v>229.7655875204082</v>
      </c>
      <c r="M20" s="36" t="s">
        <v>192</v>
      </c>
    </row>
    <row r="21" spans="1:13" s="36" customFormat="1" ht="12.75">
      <c r="A21" s="58" t="s">
        <v>4</v>
      </c>
      <c r="B21" s="91" t="s">
        <v>2</v>
      </c>
      <c r="C21" s="58"/>
      <c r="D21" s="85" t="s">
        <v>2</v>
      </c>
      <c r="E21" s="27">
        <v>400116</v>
      </c>
      <c r="F21" s="110">
        <f>VLOOKUP($D21,'Emission factors'!$A$4:$E$36,3,FALSE)</f>
        <v>962.38</v>
      </c>
      <c r="G21" s="92">
        <f>VLOOKUP($D21,'Emission factors'!$A$4:$E$36,4,FALSE)</f>
        <v>0.0185</v>
      </c>
      <c r="H21" s="92">
        <f>VLOOKUP($D21,'Emission factors'!$A$4:$E$36,5,FALSE)</f>
        <v>0.0104</v>
      </c>
      <c r="I21" s="93">
        <f>$E21/1000*F21/2205</f>
        <v>174.63203450340134</v>
      </c>
      <c r="J21" s="93">
        <f>$E21/1000*G21/2.205</f>
        <v>3.3569823129251697</v>
      </c>
      <c r="K21" s="93">
        <f>$E21/1000*H21/2.205</f>
        <v>1.8871684353741494</v>
      </c>
      <c r="L21" s="64">
        <f>I21+J21/1000*$J$4+K21/1000*$K$4</f>
        <v>175.28755334693875</v>
      </c>
      <c r="M21" s="36" t="s">
        <v>192</v>
      </c>
    </row>
    <row r="22" spans="1:13" s="36" customFormat="1" ht="13.5" thickBot="1">
      <c r="A22" s="58" t="s">
        <v>0</v>
      </c>
      <c r="B22" s="91" t="s">
        <v>58</v>
      </c>
      <c r="D22" s="85" t="s">
        <v>58</v>
      </c>
      <c r="E22" s="26">
        <v>240273</v>
      </c>
      <c r="F22" s="110">
        <f>VLOOKUP($D22,'Emission factors'!$A$4:$E$36,3,FALSE)</f>
        <v>1433.79</v>
      </c>
      <c r="G22" s="92">
        <f>VLOOKUP($D22,'Emission factors'!$A$4:$E$36,4,FALSE)</f>
        <v>0.0304</v>
      </c>
      <c r="H22" s="92">
        <f>VLOOKUP($D22,'Emission factors'!$A$4:$E$36,5,FALSE)</f>
        <v>0.0194</v>
      </c>
      <c r="I22" s="93">
        <f t="shared" si="0"/>
        <v>156.23629236734695</v>
      </c>
      <c r="J22" s="93">
        <f t="shared" si="1"/>
        <v>3.3126073469387753</v>
      </c>
      <c r="K22" s="93">
        <f t="shared" si="2"/>
        <v>2.113966530612245</v>
      </c>
      <c r="L22" s="44">
        <f t="shared" si="3"/>
        <v>156.96118674612248</v>
      </c>
      <c r="M22" s="36" t="s">
        <v>194</v>
      </c>
    </row>
    <row r="23" spans="1:12" s="36" customFormat="1" ht="12.75">
      <c r="A23" s="40"/>
      <c r="B23" s="40"/>
      <c r="C23" s="40"/>
      <c r="D23" s="108" t="s">
        <v>164</v>
      </c>
      <c r="E23" s="41">
        <f>SUM(E7:E22)</f>
        <v>7151289.67234</v>
      </c>
      <c r="F23" s="42"/>
      <c r="G23" s="43"/>
      <c r="H23" s="43"/>
      <c r="I23" s="41">
        <f>SUM(I7:I22)</f>
        <v>3326.443442020563</v>
      </c>
      <c r="J23" s="41">
        <f>SUM(J7:J22)</f>
        <v>79.53908405045713</v>
      </c>
      <c r="K23" s="41">
        <f>SUM(K7:K22)</f>
        <v>45.040867273554646</v>
      </c>
      <c r="L23" s="80">
        <f>SUM(L7:L22)</f>
        <v>3342.076431640425</v>
      </c>
    </row>
    <row r="24" spans="1:12" s="36" customFormat="1" ht="12.75">
      <c r="A24"/>
      <c r="B24"/>
      <c r="C24"/>
      <c r="D24" s="100" t="s">
        <v>162</v>
      </c>
      <c r="E24" s="107">
        <f>SUMIF($B$7:$B$22,"US",$E$7:$E$22)</f>
        <v>5523920</v>
      </c>
      <c r="F24"/>
      <c r="G24"/>
      <c r="H24"/>
      <c r="I24"/>
      <c r="J24"/>
      <c r="K24"/>
      <c r="L24" s="109">
        <f>SUMIF($B$7:$B$22,"US",$L$7:$L$22)</f>
        <v>2522.569734621678</v>
      </c>
    </row>
    <row r="25" spans="1:12" s="36" customFormat="1" ht="12.75">
      <c r="A25"/>
      <c r="B25"/>
      <c r="C25"/>
      <c r="D25" s="100" t="s">
        <v>163</v>
      </c>
      <c r="E25" s="107">
        <f>E23-E24</f>
        <v>1627369.67234</v>
      </c>
      <c r="F25"/>
      <c r="G25"/>
      <c r="H25"/>
      <c r="I25"/>
      <c r="J25"/>
      <c r="K25"/>
      <c r="L25" s="109">
        <f>L23-L24</f>
        <v>819.5066970187472</v>
      </c>
    </row>
    <row r="26" spans="1:2" s="36" customFormat="1" ht="12.75">
      <c r="A26" s="47" t="s">
        <v>40</v>
      </c>
      <c r="B26" s="47"/>
    </row>
    <row r="27" spans="5:8" s="36" customFormat="1" ht="12.75">
      <c r="E27" s="100"/>
      <c r="G27" s="85" t="s">
        <v>214</v>
      </c>
      <c r="H27" s="85"/>
    </row>
    <row r="28" spans="1:14" s="36" customFormat="1" ht="48">
      <c r="A28" s="10" t="s">
        <v>36</v>
      </c>
      <c r="B28" s="10" t="s">
        <v>165</v>
      </c>
      <c r="C28" s="10" t="s">
        <v>98</v>
      </c>
      <c r="D28" s="10" t="s">
        <v>117</v>
      </c>
      <c r="E28" s="10" t="s">
        <v>113</v>
      </c>
      <c r="F28" s="10" t="s">
        <v>78</v>
      </c>
      <c r="G28" s="10" t="s">
        <v>79</v>
      </c>
      <c r="H28" s="10" t="s">
        <v>80</v>
      </c>
      <c r="I28" s="10" t="s">
        <v>41</v>
      </c>
      <c r="J28" s="10" t="s">
        <v>42</v>
      </c>
      <c r="K28" s="10" t="s">
        <v>43</v>
      </c>
      <c r="L28" s="75" t="s">
        <v>171</v>
      </c>
      <c r="M28" s="75" t="s">
        <v>207</v>
      </c>
      <c r="N28" s="75" t="s">
        <v>208</v>
      </c>
    </row>
    <row r="29" spans="1:14" s="36" customFormat="1" ht="12.75">
      <c r="A29" s="58" t="s">
        <v>204</v>
      </c>
      <c r="B29" s="58" t="s">
        <v>205</v>
      </c>
      <c r="C29" s="58" t="s">
        <v>203</v>
      </c>
      <c r="D29" s="85" t="s">
        <v>152</v>
      </c>
      <c r="E29" s="96">
        <f>(7326+674)*1000</f>
        <v>8000000</v>
      </c>
      <c r="F29" s="49">
        <f>VLOOKUP($D29,'Emission factors'!$A$50:$E$76,3,0)</f>
        <v>1988.69</v>
      </c>
      <c r="G29" s="49">
        <f>VLOOKUP($D29,'Emission factors'!$A$50:$E$76,4,0)</f>
        <v>0.05359</v>
      </c>
      <c r="H29" s="49">
        <f>VLOOKUP($D29,'Emission factors'!$A$50:$E$76,5,0)</f>
        <v>0.03298</v>
      </c>
      <c r="I29" s="93">
        <f>$E29/1000*F29/2205</f>
        <v>7215.201814058957</v>
      </c>
      <c r="J29" s="93">
        <f>$E29/1000*G29/2.205</f>
        <v>194.43083900226756</v>
      </c>
      <c r="K29" s="93">
        <f>$E29/1000*H29/2.205</f>
        <v>119.65532879818595</v>
      </c>
      <c r="L29" s="64">
        <f>I29+J29/1000*$J$4+K29/1000*$K$4</f>
        <v>7256.378013605442</v>
      </c>
      <c r="M29" s="64">
        <f>IF(L24&lt;L29,L24,L29)</f>
        <v>2522.569734621678</v>
      </c>
      <c r="N29" s="64">
        <f>IF(L25&lt;L29,L25,L29)</f>
        <v>819.5066970187472</v>
      </c>
    </row>
    <row r="30" s="36" customFormat="1" ht="12.75"/>
    <row r="31" spans="1:13" s="36" customFormat="1" ht="12.75">
      <c r="A31" s="36" t="s">
        <v>209</v>
      </c>
      <c r="M31" s="20" t="s">
        <v>206</v>
      </c>
    </row>
    <row r="32" spans="1:13" s="36" customFormat="1" ht="12.75">
      <c r="A32" s="36" t="s">
        <v>210</v>
      </c>
      <c r="M32" s="71" t="s">
        <v>54</v>
      </c>
    </row>
    <row r="33" spans="1:10" s="36" customFormat="1" ht="12.75">
      <c r="A33" s="150" t="s">
        <v>213</v>
      </c>
      <c r="J33" s="71"/>
    </row>
    <row r="34" spans="1:12" s="36" customFormat="1" ht="12.75">
      <c r="A34"/>
      <c r="B34"/>
      <c r="C34"/>
      <c r="D34"/>
      <c r="E34"/>
      <c r="F34"/>
      <c r="G34"/>
      <c r="H34"/>
      <c r="I34"/>
      <c r="J34"/>
      <c r="K34"/>
      <c r="L34"/>
    </row>
    <row r="35" spans="1:12" s="36" customFormat="1" ht="12.75">
      <c r="A35"/>
      <c r="B35"/>
      <c r="C35"/>
      <c r="D35"/>
      <c r="E35"/>
      <c r="F35"/>
      <c r="G35"/>
      <c r="H35"/>
      <c r="I35"/>
      <c r="J35"/>
      <c r="K35"/>
      <c r="L35"/>
    </row>
  </sheetData>
  <sheetProtection/>
  <mergeCells count="1">
    <mergeCell ref="F5:H5"/>
  </mergeCells>
  <dataValidations count="1">
    <dataValidation type="list" allowBlank="1" showInputMessage="1" showErrorMessage="1" sqref="D7:D22">
      <formula1>eGRID</formula1>
    </dataValidation>
  </dataValidations>
  <printOptions/>
  <pageMargins left="0.75" right="0.75" top="1" bottom="1" header="0.5" footer="0.5"/>
  <pageSetup orientation="landscape" scale="92" r:id="rId3"/>
  <legacyDrawing r:id="rId2"/>
</worksheet>
</file>

<file path=xl/worksheets/sheet3.xml><?xml version="1.0" encoding="utf-8"?>
<worksheet xmlns="http://schemas.openxmlformats.org/spreadsheetml/2006/main" xmlns:r="http://schemas.openxmlformats.org/officeDocument/2006/relationships">
  <dimension ref="A1:M24"/>
  <sheetViews>
    <sheetView zoomScalePageLayoutView="0" workbookViewId="0" topLeftCell="A1">
      <selection activeCell="A4" sqref="A4"/>
    </sheetView>
  </sheetViews>
  <sheetFormatPr defaultColWidth="11.421875" defaultRowHeight="12.75"/>
  <cols>
    <col min="1" max="1" width="30.7109375" style="0" customWidth="1"/>
    <col min="2" max="2" width="10.421875" style="0" customWidth="1"/>
    <col min="3" max="3" width="11.00390625" style="0" customWidth="1"/>
    <col min="4" max="12" width="9.421875" style="0" customWidth="1"/>
    <col min="13" max="13" width="27.140625" style="0" bestFit="1" customWidth="1"/>
    <col min="14" max="14" width="9.421875" style="0" customWidth="1"/>
    <col min="15" max="17" width="9.28125" style="0" customWidth="1"/>
  </cols>
  <sheetData>
    <row r="1" spans="1:2" ht="12.75">
      <c r="A1" s="1" t="s">
        <v>105</v>
      </c>
      <c r="B1" s="1"/>
    </row>
    <row r="2" spans="1:2" ht="12.75">
      <c r="A2" s="67">
        <f>'Grand Totals'!$A$2</f>
        <v>2010</v>
      </c>
      <c r="B2" s="67"/>
    </row>
    <row r="3" ht="12.75">
      <c r="I3" s="47"/>
    </row>
    <row r="4" spans="3:11" ht="60">
      <c r="C4" s="17" t="s">
        <v>73</v>
      </c>
      <c r="D4" s="17" t="s">
        <v>102</v>
      </c>
      <c r="E4" s="17" t="s">
        <v>103</v>
      </c>
      <c r="G4" s="72" t="s">
        <v>108</v>
      </c>
      <c r="H4" s="72"/>
      <c r="I4" s="73"/>
      <c r="J4" s="54" t="s">
        <v>90</v>
      </c>
      <c r="K4" s="55"/>
    </row>
    <row r="5" spans="2:11" ht="12.75">
      <c r="B5" s="15" t="s">
        <v>114</v>
      </c>
      <c r="C5" s="16">
        <v>53.06</v>
      </c>
      <c r="D5" s="12">
        <v>5</v>
      </c>
      <c r="E5" s="12">
        <v>0.1</v>
      </c>
      <c r="F5" s="48">
        <v>1029</v>
      </c>
      <c r="G5" s="49" t="s">
        <v>111</v>
      </c>
      <c r="H5" s="48"/>
      <c r="J5" s="12" t="s">
        <v>85</v>
      </c>
      <c r="K5" s="12" t="s">
        <v>86</v>
      </c>
    </row>
    <row r="6" spans="2:11" ht="12.75">
      <c r="B6" s="15" t="s">
        <v>97</v>
      </c>
      <c r="C6" s="16">
        <v>73.15</v>
      </c>
      <c r="D6" s="68">
        <v>11</v>
      </c>
      <c r="E6" s="12">
        <v>0.6</v>
      </c>
      <c r="F6" s="50">
        <f>5.825/42</f>
        <v>0.1386904761904762</v>
      </c>
      <c r="G6" s="49" t="s">
        <v>107</v>
      </c>
      <c r="H6" s="50"/>
      <c r="J6" s="12">
        <v>21</v>
      </c>
      <c r="K6" s="12">
        <v>310</v>
      </c>
    </row>
    <row r="7" spans="2:10" ht="12.75">
      <c r="B7" s="15" t="s">
        <v>72</v>
      </c>
      <c r="C7" s="16">
        <v>63.16</v>
      </c>
      <c r="D7" s="68">
        <v>11</v>
      </c>
      <c r="E7" s="12">
        <v>0.6</v>
      </c>
      <c r="F7" s="50">
        <f>3.8492/42</f>
        <v>0.09164761904761905</v>
      </c>
      <c r="G7" s="49" t="s">
        <v>107</v>
      </c>
      <c r="H7" s="50"/>
      <c r="J7" s="36"/>
    </row>
    <row r="8" spans="3:4" ht="12.75">
      <c r="C8" s="14"/>
      <c r="D8" s="14"/>
    </row>
    <row r="9" spans="3:8" ht="12.75">
      <c r="C9" s="154" t="s">
        <v>114</v>
      </c>
      <c r="D9" s="154"/>
      <c r="E9" s="155" t="s">
        <v>124</v>
      </c>
      <c r="F9" s="155"/>
      <c r="G9" s="155" t="s">
        <v>69</v>
      </c>
      <c r="H9" s="155"/>
    </row>
    <row r="10" spans="1:13" ht="48.75" thickBot="1">
      <c r="A10" s="142" t="s">
        <v>112</v>
      </c>
      <c r="B10" s="142" t="s">
        <v>6</v>
      </c>
      <c r="C10" s="124" t="s">
        <v>123</v>
      </c>
      <c r="D10" s="124" t="s">
        <v>109</v>
      </c>
      <c r="E10" s="124" t="s">
        <v>110</v>
      </c>
      <c r="F10" s="124" t="s">
        <v>109</v>
      </c>
      <c r="G10" s="124" t="s">
        <v>110</v>
      </c>
      <c r="H10" s="124" t="s">
        <v>109</v>
      </c>
      <c r="I10" s="124" t="s">
        <v>52</v>
      </c>
      <c r="J10" s="124" t="s">
        <v>44</v>
      </c>
      <c r="K10" s="124" t="s">
        <v>45</v>
      </c>
      <c r="L10" s="125" t="s">
        <v>170</v>
      </c>
      <c r="M10" s="142" t="s">
        <v>184</v>
      </c>
    </row>
    <row r="11" spans="1:13" s="36" customFormat="1" ht="12.75" customHeight="1">
      <c r="A11" s="137" t="s">
        <v>118</v>
      </c>
      <c r="B11" s="138" t="s">
        <v>65</v>
      </c>
      <c r="C11" s="139">
        <v>17752</v>
      </c>
      <c r="D11" s="140">
        <f aca="true" t="shared" si="0" ref="D11:D19">C11*0.1</f>
        <v>1775.2</v>
      </c>
      <c r="E11" s="140">
        <v>167</v>
      </c>
      <c r="F11" s="140">
        <f>E11*$F$6</f>
        <v>23.161309523809525</v>
      </c>
      <c r="G11" s="140"/>
      <c r="H11" s="140">
        <f>G11*$F$7</f>
        <v>0</v>
      </c>
      <c r="I11" s="140">
        <f>($D11*C$5+$F11*C$6+$H11*C$7)/1000</f>
        <v>95.88636179166667</v>
      </c>
      <c r="J11" s="140">
        <f aca="true" t="shared" si="1" ref="J11:J18">($D11*D$5+$F11*D$6+$H11*D$7)/1000</f>
        <v>9.130774404761905</v>
      </c>
      <c r="K11" s="140">
        <f aca="true" t="shared" si="2" ref="K11:K18">($D11*E$5+$F11*E$6+$H11*E$7)/1000</f>
        <v>0.19141678571428575</v>
      </c>
      <c r="L11" s="141">
        <f aca="true" t="shared" si="3" ref="L11:L19">I11+J11/1000*$J$6+K11/1000*$K$6</f>
        <v>96.1374472577381</v>
      </c>
      <c r="M11" s="36" t="s">
        <v>197</v>
      </c>
    </row>
    <row r="12" spans="1:13" s="36" customFormat="1" ht="12.75">
      <c r="A12" s="126" t="s">
        <v>119</v>
      </c>
      <c r="B12" s="127" t="s">
        <v>65</v>
      </c>
      <c r="C12" s="26">
        <v>21893</v>
      </c>
      <c r="D12" s="93">
        <f t="shared" si="0"/>
        <v>2189.3</v>
      </c>
      <c r="E12" s="93">
        <v>220</v>
      </c>
      <c r="F12" s="93">
        <f aca="true" t="shared" si="4" ref="F12:F19">E12*$F$6</f>
        <v>30.511904761904763</v>
      </c>
      <c r="G12" s="93"/>
      <c r="H12" s="93">
        <f aca="true" t="shared" si="5" ref="H12:H19">G12*$F$7</f>
        <v>0</v>
      </c>
      <c r="I12" s="93">
        <f aca="true" t="shared" si="6" ref="I12:I17">($D12*C$5+$F12*C$6+$H12*C$7)/1000</f>
        <v>118.39620383333335</v>
      </c>
      <c r="J12" s="93">
        <f t="shared" si="1"/>
        <v>11.282130952380951</v>
      </c>
      <c r="K12" s="93">
        <f t="shared" si="2"/>
        <v>0.2372371428571429</v>
      </c>
      <c r="L12" s="128">
        <f t="shared" si="3"/>
        <v>118.70667209761906</v>
      </c>
      <c r="M12" s="36" t="s">
        <v>197</v>
      </c>
    </row>
    <row r="13" spans="1:13" s="36" customFormat="1" ht="12.75">
      <c r="A13" s="126" t="s">
        <v>120</v>
      </c>
      <c r="B13" s="127" t="s">
        <v>65</v>
      </c>
      <c r="C13" s="27">
        <v>0</v>
      </c>
      <c r="D13" s="93">
        <f t="shared" si="0"/>
        <v>0</v>
      </c>
      <c r="E13" s="93"/>
      <c r="F13" s="93">
        <f t="shared" si="4"/>
        <v>0</v>
      </c>
      <c r="G13" s="93"/>
      <c r="H13" s="93">
        <f t="shared" si="5"/>
        <v>0</v>
      </c>
      <c r="I13" s="93">
        <f t="shared" si="6"/>
        <v>0</v>
      </c>
      <c r="J13" s="93">
        <f t="shared" si="1"/>
        <v>0</v>
      </c>
      <c r="K13" s="93">
        <f t="shared" si="2"/>
        <v>0</v>
      </c>
      <c r="L13" s="128">
        <f t="shared" si="3"/>
        <v>0</v>
      </c>
      <c r="M13" s="146"/>
    </row>
    <row r="14" spans="1:13" s="36" customFormat="1" ht="12.75">
      <c r="A14" s="126" t="s">
        <v>121</v>
      </c>
      <c r="B14" s="127" t="s">
        <v>65</v>
      </c>
      <c r="C14" s="26">
        <v>0</v>
      </c>
      <c r="D14" s="93">
        <f t="shared" si="0"/>
        <v>0</v>
      </c>
      <c r="E14" s="93"/>
      <c r="F14" s="93">
        <f t="shared" si="4"/>
        <v>0</v>
      </c>
      <c r="G14" s="93"/>
      <c r="H14" s="93">
        <f t="shared" si="5"/>
        <v>0</v>
      </c>
      <c r="I14" s="93">
        <f t="shared" si="6"/>
        <v>0</v>
      </c>
      <c r="J14" s="93">
        <f t="shared" si="1"/>
        <v>0</v>
      </c>
      <c r="K14" s="93">
        <f t="shared" si="2"/>
        <v>0</v>
      </c>
      <c r="L14" s="128">
        <f t="shared" si="3"/>
        <v>0</v>
      </c>
      <c r="M14" s="146"/>
    </row>
    <row r="15" spans="1:13" s="36" customFormat="1" ht="12.75">
      <c r="A15" s="126" t="s">
        <v>122</v>
      </c>
      <c r="B15" s="127" t="s">
        <v>65</v>
      </c>
      <c r="C15" s="26">
        <v>0</v>
      </c>
      <c r="D15" s="93">
        <f t="shared" si="0"/>
        <v>0</v>
      </c>
      <c r="E15" s="93"/>
      <c r="F15" s="93">
        <f t="shared" si="4"/>
        <v>0</v>
      </c>
      <c r="G15" s="93"/>
      <c r="H15" s="93">
        <f t="shared" si="5"/>
        <v>0</v>
      </c>
      <c r="I15" s="93">
        <f t="shared" si="6"/>
        <v>0</v>
      </c>
      <c r="J15" s="93">
        <f t="shared" si="1"/>
        <v>0</v>
      </c>
      <c r="K15" s="93">
        <f t="shared" si="2"/>
        <v>0</v>
      </c>
      <c r="L15" s="128">
        <f t="shared" si="3"/>
        <v>0</v>
      </c>
      <c r="M15" s="146"/>
    </row>
    <row r="16" spans="1:13" s="36" customFormat="1" ht="12.75">
      <c r="A16" s="126" t="s">
        <v>128</v>
      </c>
      <c r="B16" s="127" t="s">
        <v>65</v>
      </c>
      <c r="C16" s="26">
        <f>31310*(F5/1000)</f>
        <v>32217.989999999998</v>
      </c>
      <c r="D16" s="93">
        <f>C16*0.1</f>
        <v>3221.799</v>
      </c>
      <c r="E16" s="93"/>
      <c r="F16" s="93">
        <f t="shared" si="4"/>
        <v>0</v>
      </c>
      <c r="G16" s="93"/>
      <c r="H16" s="93">
        <f t="shared" si="5"/>
        <v>0</v>
      </c>
      <c r="I16" s="93">
        <f t="shared" si="6"/>
        <v>170.94865494</v>
      </c>
      <c r="J16" s="93">
        <f t="shared" si="1"/>
        <v>16.108995</v>
      </c>
      <c r="K16" s="93">
        <f t="shared" si="2"/>
        <v>0.3221799</v>
      </c>
      <c r="L16" s="128">
        <f t="shared" si="3"/>
        <v>171.386819604</v>
      </c>
      <c r="M16" s="36" t="s">
        <v>183</v>
      </c>
    </row>
    <row r="17" spans="1:13" ht="12.75">
      <c r="A17" s="129" t="s">
        <v>61</v>
      </c>
      <c r="B17" s="130" t="s">
        <v>55</v>
      </c>
      <c r="C17" s="26">
        <f>(18669*35.314*F5)/100000</f>
        <v>6783.96100914</v>
      </c>
      <c r="D17" s="121">
        <f t="shared" si="0"/>
        <v>678.396100914</v>
      </c>
      <c r="E17" s="121"/>
      <c r="F17" s="121">
        <f t="shared" si="4"/>
        <v>0</v>
      </c>
      <c r="G17" s="121"/>
      <c r="H17" s="121">
        <f t="shared" si="5"/>
        <v>0</v>
      </c>
      <c r="I17" s="121">
        <f t="shared" si="6"/>
        <v>35.99569711449684</v>
      </c>
      <c r="J17" s="121">
        <f t="shared" si="1"/>
        <v>3.3919805045700007</v>
      </c>
      <c r="K17" s="121">
        <f t="shared" si="2"/>
        <v>0.06783961009140001</v>
      </c>
      <c r="L17" s="128">
        <f t="shared" si="3"/>
        <v>36.087958984221146</v>
      </c>
      <c r="M17" s="36" t="s">
        <v>195</v>
      </c>
    </row>
    <row r="18" spans="1:13" s="36" customFormat="1" ht="12.75">
      <c r="A18" s="126" t="s">
        <v>4</v>
      </c>
      <c r="B18" s="127" t="s">
        <v>2</v>
      </c>
      <c r="C18" s="26">
        <f>(814.3*35.314*F5)/100000</f>
        <v>295.901197158</v>
      </c>
      <c r="D18" s="93">
        <f t="shared" si="0"/>
        <v>29.5901197158</v>
      </c>
      <c r="E18" s="93">
        <f>47800/3.785</f>
        <v>12628.797886393659</v>
      </c>
      <c r="F18" s="93">
        <f>E18*$F$6</f>
        <v>1751.4939925772157</v>
      </c>
      <c r="G18" s="93"/>
      <c r="H18" s="93">
        <f t="shared" si="5"/>
        <v>0</v>
      </c>
      <c r="I18" s="93">
        <f>($D18*C$5+$F18*C$6+$H18*C$7)/1000</f>
        <v>129.6918373091437</v>
      </c>
      <c r="J18" s="93">
        <f t="shared" si="1"/>
        <v>19.414384516928372</v>
      </c>
      <c r="K18" s="93">
        <f t="shared" si="2"/>
        <v>1.0538554075179092</v>
      </c>
      <c r="L18" s="128">
        <f>I18+J18/1000*$J$6+K18/1000*$K$6</f>
        <v>130.42623456032976</v>
      </c>
      <c r="M18" s="149" t="s">
        <v>192</v>
      </c>
    </row>
    <row r="19" spans="1:13" s="36" customFormat="1" ht="13.5" thickBot="1">
      <c r="A19" s="131" t="s">
        <v>70</v>
      </c>
      <c r="B19" s="132" t="s">
        <v>59</v>
      </c>
      <c r="C19" s="133"/>
      <c r="D19" s="134">
        <f t="shared" si="0"/>
        <v>0</v>
      </c>
      <c r="E19" s="134"/>
      <c r="F19" s="134">
        <f t="shared" si="4"/>
        <v>0</v>
      </c>
      <c r="G19" s="134">
        <v>88</v>
      </c>
      <c r="H19" s="134">
        <f t="shared" si="5"/>
        <v>8.064990476190475</v>
      </c>
      <c r="I19" s="134">
        <f>($D19*C$5+$F19*C$6+$H19*C$7)/1000</f>
        <v>0.5093847984761903</v>
      </c>
      <c r="J19" s="134">
        <f>($D19*D$5+$F19*D$6+$H19*D$7)/1000</f>
        <v>0.08871489523809523</v>
      </c>
      <c r="K19" s="134">
        <f>($D19*E$5+$F19*E$6+$H19*E$7)/1000</f>
        <v>0.004838994285714285</v>
      </c>
      <c r="L19" s="135">
        <f t="shared" si="3"/>
        <v>0.5127478995047617</v>
      </c>
      <c r="M19" s="123" t="s">
        <v>188</v>
      </c>
    </row>
    <row r="20" spans="1:12" ht="13.5" thickBot="1">
      <c r="A20" s="77"/>
      <c r="B20" s="78"/>
      <c r="C20" s="41">
        <f aca="true" t="shared" si="7" ref="C20:L20">SUM(C11:C19)</f>
        <v>78942.85220629799</v>
      </c>
      <c r="D20" s="41">
        <f t="shared" si="7"/>
        <v>7894.2852206298</v>
      </c>
      <c r="E20" s="41">
        <f t="shared" si="7"/>
        <v>13015.797886393659</v>
      </c>
      <c r="F20" s="41">
        <f t="shared" si="7"/>
        <v>1805.16720686293</v>
      </c>
      <c r="G20" s="41">
        <f t="shared" si="7"/>
        <v>88</v>
      </c>
      <c r="H20" s="41">
        <f t="shared" si="7"/>
        <v>8.064990476190475</v>
      </c>
      <c r="I20" s="41">
        <f t="shared" si="7"/>
        <v>551.4281397871167</v>
      </c>
      <c r="J20" s="41">
        <f t="shared" si="7"/>
        <v>59.416980273879325</v>
      </c>
      <c r="K20" s="41">
        <f t="shared" si="7"/>
        <v>1.8773678404664522</v>
      </c>
      <c r="L20" s="76">
        <f t="shared" si="7"/>
        <v>553.2578804034129</v>
      </c>
    </row>
    <row r="21" spans="3:12" ht="12.75">
      <c r="C21" s="79"/>
      <c r="D21" s="79"/>
      <c r="E21" s="79"/>
      <c r="F21" s="79"/>
      <c r="G21" s="79"/>
      <c r="H21" s="79"/>
      <c r="I21" s="79"/>
      <c r="J21" s="79"/>
      <c r="K21" s="79"/>
      <c r="L21" s="79"/>
    </row>
    <row r="23" spans="1:5" ht="12.75">
      <c r="A23" s="46"/>
      <c r="B23" s="46"/>
      <c r="E23" s="5"/>
    </row>
    <row r="24" ht="12.75">
      <c r="D24" s="5"/>
    </row>
  </sheetData>
  <sheetProtection/>
  <mergeCells count="3">
    <mergeCell ref="C9:D9"/>
    <mergeCell ref="E9:F9"/>
    <mergeCell ref="G9:H9"/>
  </mergeCells>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dimension ref="A1:N23"/>
  <sheetViews>
    <sheetView zoomScalePageLayoutView="0" workbookViewId="0" topLeftCell="A1">
      <selection activeCell="A4" sqref="A4"/>
    </sheetView>
  </sheetViews>
  <sheetFormatPr defaultColWidth="9.140625" defaultRowHeight="12.75"/>
  <cols>
    <col min="1" max="1" width="24.7109375" style="0" customWidth="1"/>
    <col min="2" max="2" width="9.8515625" style="0" customWidth="1"/>
    <col min="3" max="3" width="11.140625" style="0" customWidth="1"/>
    <col min="4" max="4" width="9.00390625" style="0" customWidth="1"/>
    <col min="5" max="5" width="11.7109375" style="0" customWidth="1"/>
    <col min="6" max="6" width="6.421875" style="0" customWidth="1"/>
    <col min="7" max="13" width="9.57421875" style="0" customWidth="1"/>
    <col min="14" max="14" width="39.421875" style="0" bestFit="1" customWidth="1"/>
  </cols>
  <sheetData>
    <row r="1" spans="1:3" ht="12.75">
      <c r="A1" s="1" t="s">
        <v>106</v>
      </c>
      <c r="B1" s="1"/>
      <c r="C1" s="1"/>
    </row>
    <row r="2" spans="1:3" ht="12.75">
      <c r="A2" s="67">
        <f>'Grand Totals'!$A$2</f>
        <v>2010</v>
      </c>
      <c r="B2" s="67"/>
      <c r="C2" s="67"/>
    </row>
    <row r="3" spans="2:11" ht="12.75">
      <c r="B3" s="52"/>
      <c r="C3" s="52" t="s">
        <v>87</v>
      </c>
      <c r="D3" s="14"/>
      <c r="E3" s="14"/>
      <c r="F3" s="14"/>
      <c r="G3" s="14"/>
      <c r="H3" s="14"/>
      <c r="I3" s="14"/>
      <c r="J3" s="54" t="s">
        <v>90</v>
      </c>
      <c r="K3" s="55"/>
    </row>
    <row r="4" spans="2:12" ht="12.75">
      <c r="B4" s="53"/>
      <c r="C4" s="15" t="s">
        <v>88</v>
      </c>
      <c r="D4" s="16">
        <v>8.81</v>
      </c>
      <c r="E4" s="14" t="s">
        <v>89</v>
      </c>
      <c r="F4" s="14"/>
      <c r="G4" s="14"/>
      <c r="H4" s="14"/>
      <c r="I4" s="14"/>
      <c r="J4" s="12" t="s">
        <v>85</v>
      </c>
      <c r="K4" s="12" t="s">
        <v>86</v>
      </c>
      <c r="L4" s="14"/>
    </row>
    <row r="5" spans="2:12" ht="12.75">
      <c r="B5" s="14"/>
      <c r="C5" s="15" t="s">
        <v>91</v>
      </c>
      <c r="D5" s="56">
        <v>10.15</v>
      </c>
      <c r="E5" s="14" t="s">
        <v>89</v>
      </c>
      <c r="F5" s="14"/>
      <c r="G5" s="14"/>
      <c r="H5" s="14"/>
      <c r="I5" s="14"/>
      <c r="J5" s="12">
        <v>21</v>
      </c>
      <c r="K5" s="12">
        <v>310</v>
      </c>
      <c r="L5" s="14"/>
    </row>
    <row r="6" spans="2:12" ht="12.75">
      <c r="B6" s="74"/>
      <c r="C6" s="15" t="s">
        <v>69</v>
      </c>
      <c r="D6" s="12">
        <v>5.79</v>
      </c>
      <c r="E6" s="14" t="s">
        <v>89</v>
      </c>
      <c r="L6" s="14"/>
    </row>
    <row r="7" spans="1:12" ht="12.75">
      <c r="A7" s="14"/>
      <c r="B7" s="14"/>
      <c r="C7" s="14"/>
      <c r="D7" s="57"/>
      <c r="E7" s="14"/>
      <c r="F7" s="14"/>
      <c r="G7" s="14"/>
      <c r="H7" s="14"/>
      <c r="I7" s="14"/>
      <c r="J7" s="14"/>
      <c r="K7" s="14"/>
      <c r="L7" s="14"/>
    </row>
    <row r="8" spans="1:14" s="7" customFormat="1" ht="48">
      <c r="A8" s="11" t="s">
        <v>95</v>
      </c>
      <c r="B8" s="11" t="s">
        <v>6</v>
      </c>
      <c r="C8" s="11" t="s">
        <v>169</v>
      </c>
      <c r="D8" s="11" t="s">
        <v>46</v>
      </c>
      <c r="E8" s="11" t="s">
        <v>8</v>
      </c>
      <c r="F8" s="10" t="s">
        <v>92</v>
      </c>
      <c r="G8" s="10" t="s">
        <v>96</v>
      </c>
      <c r="H8" s="11" t="s">
        <v>52</v>
      </c>
      <c r="I8" s="10" t="s">
        <v>93</v>
      </c>
      <c r="J8" s="10" t="s">
        <v>44</v>
      </c>
      <c r="K8" s="10" t="s">
        <v>94</v>
      </c>
      <c r="L8" s="11" t="s">
        <v>45</v>
      </c>
      <c r="M8" s="75" t="s">
        <v>170</v>
      </c>
      <c r="N8" s="142" t="s">
        <v>184</v>
      </c>
    </row>
    <row r="9" spans="1:14" s="36" customFormat="1" ht="12.75">
      <c r="A9" s="49" t="s">
        <v>125</v>
      </c>
      <c r="B9" s="49" t="s">
        <v>65</v>
      </c>
      <c r="C9" s="49" t="s">
        <v>88</v>
      </c>
      <c r="D9" s="49">
        <v>1995</v>
      </c>
      <c r="E9" s="136">
        <v>5490</v>
      </c>
      <c r="F9" s="49">
        <v>21</v>
      </c>
      <c r="G9" s="58">
        <f>E9/F9</f>
        <v>261.42857142857144</v>
      </c>
      <c r="H9" s="58">
        <f>G9*$D$4/1000</f>
        <v>2.3031857142857146</v>
      </c>
      <c r="I9" s="49">
        <v>0.0517</v>
      </c>
      <c r="J9" s="94">
        <f aca="true" t="shared" si="0" ref="J9:J15">$E9*I9/1000</f>
        <v>0.283833</v>
      </c>
      <c r="K9" s="49">
        <v>0.0908</v>
      </c>
      <c r="L9" s="94">
        <f>$E9*K9/1000</f>
        <v>0.49849200000000005</v>
      </c>
      <c r="M9" s="115">
        <f>H9+J9/1000*$J$5+L9/1000*$K$5</f>
        <v>2.4636787272857146</v>
      </c>
      <c r="N9" s="36" t="s">
        <v>191</v>
      </c>
    </row>
    <row r="10" spans="1:14" s="36" customFormat="1" ht="12.75">
      <c r="A10" s="49" t="s">
        <v>126</v>
      </c>
      <c r="B10" s="49" t="s">
        <v>65</v>
      </c>
      <c r="C10" s="49" t="s">
        <v>88</v>
      </c>
      <c r="D10" s="49">
        <v>1997</v>
      </c>
      <c r="E10" s="136">
        <v>200</v>
      </c>
      <c r="F10" s="49">
        <v>15</v>
      </c>
      <c r="G10" s="58">
        <f aca="true" t="shared" si="1" ref="G10:G15">E10/F10</f>
        <v>13.333333333333334</v>
      </c>
      <c r="H10" s="94">
        <f aca="true" t="shared" si="2" ref="H10:H17">G10*$D$4/1000</f>
        <v>0.11746666666666668</v>
      </c>
      <c r="I10" s="49">
        <v>0.0452</v>
      </c>
      <c r="J10" s="94">
        <f t="shared" si="0"/>
        <v>0.00904</v>
      </c>
      <c r="K10" s="49">
        <v>0.0871</v>
      </c>
      <c r="L10" s="94">
        <f aca="true" t="shared" si="3" ref="L10:L15">$E10*K10/1000</f>
        <v>0.017419999999999998</v>
      </c>
      <c r="M10" s="115">
        <f aca="true" t="shared" si="4" ref="M10:M17">H10+J10/1000*$J$5+L10/1000*$K$5</f>
        <v>0.12305670666666667</v>
      </c>
      <c r="N10" s="36" t="s">
        <v>191</v>
      </c>
    </row>
    <row r="11" spans="1:14" s="36" customFormat="1" ht="12.75">
      <c r="A11" s="49" t="s">
        <v>161</v>
      </c>
      <c r="B11" s="49" t="s">
        <v>65</v>
      </c>
      <c r="C11" s="49" t="s">
        <v>88</v>
      </c>
      <c r="D11" s="49">
        <v>2002</v>
      </c>
      <c r="E11" s="136">
        <v>14400</v>
      </c>
      <c r="F11" s="49">
        <v>21</v>
      </c>
      <c r="G11" s="58">
        <f t="shared" si="1"/>
        <v>685.7142857142857</v>
      </c>
      <c r="H11" s="94">
        <f t="shared" si="2"/>
        <v>6.041142857142857</v>
      </c>
      <c r="I11" s="49">
        <v>0.0107</v>
      </c>
      <c r="J11" s="94">
        <f t="shared" si="0"/>
        <v>0.15408</v>
      </c>
      <c r="K11" s="49">
        <v>0.0153</v>
      </c>
      <c r="L11" s="94">
        <f t="shared" si="3"/>
        <v>0.22032</v>
      </c>
      <c r="M11" s="115">
        <f t="shared" si="4"/>
        <v>6.112677737142858</v>
      </c>
      <c r="N11" s="36" t="s">
        <v>191</v>
      </c>
    </row>
    <row r="12" spans="1:14" s="36" customFormat="1" ht="12.75">
      <c r="A12" s="49" t="s">
        <v>215</v>
      </c>
      <c r="B12" s="49" t="s">
        <v>65</v>
      </c>
      <c r="C12" s="49" t="s">
        <v>88</v>
      </c>
      <c r="D12" s="49">
        <v>2002</v>
      </c>
      <c r="E12" s="136">
        <v>500</v>
      </c>
      <c r="F12" s="49">
        <v>21</v>
      </c>
      <c r="G12" s="58">
        <f>E12/F12</f>
        <v>23.80952380952381</v>
      </c>
      <c r="H12" s="94">
        <f t="shared" si="2"/>
        <v>0.2097619047619048</v>
      </c>
      <c r="I12" s="49">
        <v>0.0107</v>
      </c>
      <c r="J12" s="94">
        <f t="shared" si="0"/>
        <v>0.00535</v>
      </c>
      <c r="K12" s="49">
        <v>0.0153</v>
      </c>
      <c r="L12" s="94">
        <f t="shared" si="3"/>
        <v>0.00765</v>
      </c>
      <c r="M12" s="115">
        <f t="shared" si="4"/>
        <v>0.2122457547619048</v>
      </c>
      <c r="N12" s="36" t="s">
        <v>191</v>
      </c>
    </row>
    <row r="13" spans="1:14" s="36" customFormat="1" ht="12.75">
      <c r="A13" s="49" t="s">
        <v>215</v>
      </c>
      <c r="B13" s="49" t="s">
        <v>65</v>
      </c>
      <c r="C13" s="49" t="s">
        <v>88</v>
      </c>
      <c r="D13" s="49">
        <v>2002</v>
      </c>
      <c r="E13" s="136">
        <v>500</v>
      </c>
      <c r="F13" s="49">
        <v>21</v>
      </c>
      <c r="G13" s="58">
        <f t="shared" si="1"/>
        <v>23.80952380952381</v>
      </c>
      <c r="H13" s="94">
        <f t="shared" si="2"/>
        <v>0.2097619047619048</v>
      </c>
      <c r="I13" s="49">
        <v>0.0107</v>
      </c>
      <c r="J13" s="94">
        <f t="shared" si="0"/>
        <v>0.00535</v>
      </c>
      <c r="K13" s="49">
        <v>0.0153</v>
      </c>
      <c r="L13" s="94">
        <f t="shared" si="3"/>
        <v>0.00765</v>
      </c>
      <c r="M13" s="115">
        <f t="shared" si="4"/>
        <v>0.2122457547619048</v>
      </c>
      <c r="N13" s="36" t="s">
        <v>191</v>
      </c>
    </row>
    <row r="14" spans="1:14" s="36" customFormat="1" ht="12.75">
      <c r="A14" s="49" t="s">
        <v>130</v>
      </c>
      <c r="B14" s="49" t="s">
        <v>65</v>
      </c>
      <c r="C14" s="49" t="s">
        <v>88</v>
      </c>
      <c r="D14" s="49">
        <v>2002</v>
      </c>
      <c r="E14" s="136">
        <v>500</v>
      </c>
      <c r="F14" s="49">
        <v>21</v>
      </c>
      <c r="G14" s="58">
        <f t="shared" si="1"/>
        <v>23.80952380952381</v>
      </c>
      <c r="H14" s="94">
        <f t="shared" si="2"/>
        <v>0.2097619047619048</v>
      </c>
      <c r="I14" s="49">
        <v>0.0107</v>
      </c>
      <c r="J14" s="94">
        <f t="shared" si="0"/>
        <v>0.00535</v>
      </c>
      <c r="K14" s="49">
        <v>0.0153</v>
      </c>
      <c r="L14" s="94">
        <f t="shared" si="3"/>
        <v>0.00765</v>
      </c>
      <c r="M14" s="115">
        <f t="shared" si="4"/>
        <v>0.2122457547619048</v>
      </c>
      <c r="N14" s="36" t="s">
        <v>191</v>
      </c>
    </row>
    <row r="15" spans="1:14" s="36" customFormat="1" ht="12.75">
      <c r="A15" s="49" t="s">
        <v>131</v>
      </c>
      <c r="B15" s="49" t="s">
        <v>65</v>
      </c>
      <c r="C15" s="49" t="s">
        <v>88</v>
      </c>
      <c r="D15" s="49">
        <v>2002</v>
      </c>
      <c r="E15" s="136">
        <v>500</v>
      </c>
      <c r="F15" s="49">
        <v>21</v>
      </c>
      <c r="G15" s="58">
        <f t="shared" si="1"/>
        <v>23.80952380952381</v>
      </c>
      <c r="H15" s="94">
        <f t="shared" si="2"/>
        <v>0.2097619047619048</v>
      </c>
      <c r="I15" s="49">
        <v>0.0107</v>
      </c>
      <c r="J15" s="94">
        <f t="shared" si="0"/>
        <v>0.00535</v>
      </c>
      <c r="K15" s="49">
        <v>0.0153</v>
      </c>
      <c r="L15" s="94">
        <f t="shared" si="3"/>
        <v>0.00765</v>
      </c>
      <c r="M15" s="115">
        <f t="shared" si="4"/>
        <v>0.2122457547619048</v>
      </c>
      <c r="N15" s="36" t="s">
        <v>191</v>
      </c>
    </row>
    <row r="16" spans="1:13" s="36" customFormat="1" ht="12.75">
      <c r="A16" s="49" t="s">
        <v>66</v>
      </c>
      <c r="B16" s="49" t="s">
        <v>56</v>
      </c>
      <c r="C16" s="49" t="s">
        <v>88</v>
      </c>
      <c r="D16" s="49">
        <v>2007</v>
      </c>
      <c r="E16" s="58">
        <f>3000/1.609</f>
        <v>1864.5121193287757</v>
      </c>
      <c r="F16" s="90">
        <f>E16/G16</f>
        <v>42.25855312370908</v>
      </c>
      <c r="G16" s="58">
        <f>167/3.785</f>
        <v>44.121532364597094</v>
      </c>
      <c r="H16" s="94">
        <f t="shared" si="2"/>
        <v>0.38871070013210046</v>
      </c>
      <c r="I16" s="49">
        <v>0.0157</v>
      </c>
      <c r="J16" s="94">
        <f>$E16*I16/1000</f>
        <v>0.02927284027346178</v>
      </c>
      <c r="K16" s="49">
        <v>0.0101</v>
      </c>
      <c r="L16" s="94">
        <f>$E16*K16/1000</f>
        <v>0.018831572405220633</v>
      </c>
      <c r="M16" s="115">
        <f t="shared" si="4"/>
        <v>0.3951632172234616</v>
      </c>
    </row>
    <row r="17" spans="1:13" s="36" customFormat="1" ht="12.75">
      <c r="A17" s="49" t="s">
        <v>66</v>
      </c>
      <c r="B17" s="49" t="s">
        <v>56</v>
      </c>
      <c r="C17" s="49" t="s">
        <v>88</v>
      </c>
      <c r="D17" s="49">
        <v>2004</v>
      </c>
      <c r="E17" s="58">
        <f>8700/1.609</f>
        <v>5407.0851460534495</v>
      </c>
      <c r="F17" s="90">
        <f>E17/G17</f>
        <v>33.827797153408774</v>
      </c>
      <c r="G17" s="58">
        <f>605/3.785</f>
        <v>159.84147952443857</v>
      </c>
      <c r="H17" s="94">
        <f t="shared" si="2"/>
        <v>1.4082034346103038</v>
      </c>
      <c r="I17" s="49">
        <v>0.0152</v>
      </c>
      <c r="J17" s="94">
        <f>$E17*I17/1000</f>
        <v>0.08218769422001243</v>
      </c>
      <c r="K17" s="49">
        <v>0.0132</v>
      </c>
      <c r="L17" s="94">
        <f>$E17*K17/1000</f>
        <v>0.07137352392790554</v>
      </c>
      <c r="M17" s="115">
        <f t="shared" si="4"/>
        <v>1.4320551686065748</v>
      </c>
    </row>
    <row r="18" spans="1:13" ht="12.75">
      <c r="A18" s="59" t="s">
        <v>1</v>
      </c>
      <c r="B18" s="59"/>
      <c r="C18" s="59"/>
      <c r="D18" s="60"/>
      <c r="E18" s="61">
        <f>SUM(E9:E17)</f>
        <v>29361.597265382225</v>
      </c>
      <c r="F18" s="62">
        <f>E18/G18</f>
        <v>23.308824665845762</v>
      </c>
      <c r="G18" s="65">
        <f>SUM(G9:G17)</f>
        <v>1259.6772976033212</v>
      </c>
      <c r="H18" s="61">
        <f>SUM(H9:H17)</f>
        <v>11.097756991885262</v>
      </c>
      <c r="I18" s="62"/>
      <c r="J18" s="63">
        <f>SUM(J9:J17)</f>
        <v>0.5798135344934743</v>
      </c>
      <c r="K18" s="62"/>
      <c r="L18" s="63">
        <f>SUM(L9:L17)</f>
        <v>0.8570370963331263</v>
      </c>
      <c r="M18" s="114">
        <f>SUM(M9:M17)</f>
        <v>11.375614575972897</v>
      </c>
    </row>
    <row r="19" spans="1:12" ht="12.75">
      <c r="A19" s="14"/>
      <c r="B19" s="14"/>
      <c r="C19" s="14"/>
      <c r="D19" s="14"/>
      <c r="E19" s="13"/>
      <c r="F19" s="14"/>
      <c r="G19" s="66"/>
      <c r="H19" s="64"/>
      <c r="I19" s="14"/>
      <c r="J19" s="14"/>
      <c r="K19" s="14"/>
      <c r="L19" s="14"/>
    </row>
    <row r="20" spans="1:12" ht="12.75">
      <c r="A20" s="52" t="s">
        <v>167</v>
      </c>
      <c r="B20" s="14"/>
      <c r="C20" s="14"/>
      <c r="D20" s="14"/>
      <c r="E20" s="13"/>
      <c r="F20" s="14"/>
      <c r="G20" s="66"/>
      <c r="H20" s="64"/>
      <c r="I20" s="14"/>
      <c r="J20" s="14"/>
      <c r="K20" s="14"/>
      <c r="L20" s="14"/>
    </row>
    <row r="21" spans="1:8" ht="12.75">
      <c r="A21" s="14" t="s">
        <v>168</v>
      </c>
      <c r="E21" s="5"/>
      <c r="G21" s="45"/>
      <c r="H21" s="37"/>
    </row>
    <row r="22" spans="1:7" ht="12.75">
      <c r="A22" s="14" t="s">
        <v>178</v>
      </c>
      <c r="F22" s="36"/>
      <c r="G22" s="36"/>
    </row>
    <row r="23" ht="12.75">
      <c r="F23" s="36"/>
    </row>
  </sheetData>
  <sheetProtection/>
  <printOptions/>
  <pageMargins left="0.25" right="0.25" top="1" bottom="1"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dimension ref="A1:Y76"/>
  <sheetViews>
    <sheetView zoomScalePageLayoutView="0" workbookViewId="0" topLeftCell="A1">
      <selection activeCell="A3" sqref="A3"/>
    </sheetView>
  </sheetViews>
  <sheetFormatPr defaultColWidth="9.140625" defaultRowHeight="12.75"/>
  <cols>
    <col min="1" max="1" width="8.00390625" style="0" customWidth="1"/>
    <col min="2" max="2" width="23.421875" style="0" customWidth="1"/>
    <col min="3" max="5" width="7.421875" style="0" customWidth="1"/>
    <col min="6" max="8" width="8.8515625" style="0" customWidth="1"/>
    <col min="9" max="9" width="11.140625" style="0" customWidth="1"/>
    <col min="10" max="11" width="11.140625" style="0" bestFit="1" customWidth="1"/>
    <col min="15" max="15" width="32.421875" style="0" bestFit="1" customWidth="1"/>
    <col min="17" max="17" width="18.7109375" style="0" customWidth="1"/>
  </cols>
  <sheetData>
    <row r="1" spans="1:16" ht="12.75">
      <c r="A1" s="99" t="s">
        <v>179</v>
      </c>
      <c r="B1" s="99"/>
      <c r="C1" s="99"/>
      <c r="D1" s="2"/>
      <c r="E1" s="2"/>
      <c r="F1" s="9"/>
      <c r="G1" s="9"/>
      <c r="H1" s="9"/>
      <c r="I1" s="9"/>
      <c r="J1" s="9"/>
      <c r="K1" s="9"/>
      <c r="L1" s="9"/>
      <c r="M1" s="9"/>
      <c r="N1" s="9"/>
      <c r="O1" s="9"/>
      <c r="P1" s="9"/>
    </row>
    <row r="2" spans="1:16" ht="12.75">
      <c r="A2" s="95" t="s">
        <v>201</v>
      </c>
      <c r="B2" s="99"/>
      <c r="C2" s="99"/>
      <c r="D2" s="2"/>
      <c r="E2" s="2"/>
      <c r="F2" s="9"/>
      <c r="G2" s="9"/>
      <c r="H2" s="9"/>
      <c r="I2" s="9"/>
      <c r="J2" s="9"/>
      <c r="K2" s="9"/>
      <c r="L2" s="9"/>
      <c r="M2" s="9"/>
      <c r="N2" s="9"/>
      <c r="O2" s="9"/>
      <c r="P2" s="9"/>
    </row>
    <row r="3" spans="1:22" ht="40.5">
      <c r="A3" s="3" t="s">
        <v>132</v>
      </c>
      <c r="B3" s="3" t="s">
        <v>133</v>
      </c>
      <c r="C3" s="29" t="s">
        <v>74</v>
      </c>
      <c r="D3" s="29" t="s">
        <v>75</v>
      </c>
      <c r="E3" s="29" t="s">
        <v>76</v>
      </c>
      <c r="F3" s="9"/>
      <c r="G3" s="9"/>
      <c r="H3" s="9"/>
      <c r="I3" s="9"/>
      <c r="J3" s="9"/>
      <c r="K3" s="9"/>
      <c r="L3" s="9"/>
      <c r="M3" s="9"/>
      <c r="N3" s="9"/>
      <c r="O3" s="9"/>
      <c r="P3" s="9"/>
      <c r="R3" s="151"/>
      <c r="S3" s="151"/>
      <c r="T3" s="151"/>
      <c r="U3" s="151"/>
      <c r="V3" s="151"/>
    </row>
    <row r="4" spans="1:25" ht="12.75">
      <c r="A4" s="4" t="s">
        <v>134</v>
      </c>
      <c r="B4" s="4" t="s">
        <v>135</v>
      </c>
      <c r="C4" s="8">
        <v>1284.72</v>
      </c>
      <c r="D4" s="30">
        <v>0.02711</v>
      </c>
      <c r="E4" s="30">
        <v>0.00744</v>
      </c>
      <c r="F4" s="9"/>
      <c r="G4" s="9"/>
      <c r="H4" s="9"/>
      <c r="I4" s="9"/>
      <c r="J4" s="9"/>
      <c r="K4" s="9"/>
      <c r="L4" s="9"/>
      <c r="M4" s="9"/>
      <c r="N4" s="9"/>
      <c r="O4" s="9"/>
      <c r="P4" s="9"/>
      <c r="W4" s="153"/>
      <c r="X4" s="153"/>
      <c r="Y4" s="153"/>
    </row>
    <row r="5" spans="1:25" ht="12.75">
      <c r="A5" s="4" t="s">
        <v>136</v>
      </c>
      <c r="B5" s="4" t="s">
        <v>137</v>
      </c>
      <c r="C5" s="8">
        <v>535.73</v>
      </c>
      <c r="D5" s="30">
        <v>0.02265</v>
      </c>
      <c r="E5" s="30">
        <v>0.00448</v>
      </c>
      <c r="F5" s="9"/>
      <c r="G5" s="9"/>
      <c r="H5" s="9"/>
      <c r="I5" s="9"/>
      <c r="J5" s="9"/>
      <c r="K5" s="9"/>
      <c r="L5" s="9"/>
      <c r="M5" s="9"/>
      <c r="N5" s="9"/>
      <c r="O5" s="9"/>
      <c r="P5" s="9"/>
      <c r="W5" s="153"/>
      <c r="X5" s="153"/>
      <c r="Y5" s="153"/>
    </row>
    <row r="6" spans="1:25" ht="12.75">
      <c r="A6" s="4" t="s">
        <v>138</v>
      </c>
      <c r="B6" s="4" t="s">
        <v>139</v>
      </c>
      <c r="C6" s="8">
        <v>1252.61</v>
      </c>
      <c r="D6" s="30">
        <v>0.0188</v>
      </c>
      <c r="E6" s="30">
        <v>0.01657</v>
      </c>
      <c r="F6" s="9"/>
      <c r="G6" s="9"/>
      <c r="H6" s="9"/>
      <c r="I6" s="9"/>
      <c r="J6" s="9"/>
      <c r="K6" s="9"/>
      <c r="L6" s="9"/>
      <c r="M6" s="9"/>
      <c r="N6" s="9"/>
      <c r="O6" s="9"/>
      <c r="P6" s="9"/>
      <c r="W6" s="153"/>
      <c r="X6" s="153"/>
      <c r="Y6" s="153"/>
    </row>
    <row r="7" spans="1:25" ht="12.75">
      <c r="A7" s="4" t="s">
        <v>140</v>
      </c>
      <c r="B7" s="4" t="s">
        <v>141</v>
      </c>
      <c r="C7" s="8">
        <v>681.01</v>
      </c>
      <c r="D7" s="30">
        <v>0.02829</v>
      </c>
      <c r="E7" s="30">
        <v>0.00623</v>
      </c>
      <c r="F7" s="9"/>
      <c r="G7" s="9"/>
      <c r="H7" s="9"/>
      <c r="I7" s="9"/>
      <c r="J7" s="9"/>
      <c r="K7" s="9"/>
      <c r="L7" s="9"/>
      <c r="M7" s="9"/>
      <c r="N7" s="9"/>
      <c r="O7" s="9"/>
      <c r="P7" s="9"/>
      <c r="W7" s="153"/>
      <c r="X7" s="153"/>
      <c r="Y7" s="153"/>
    </row>
    <row r="8" spans="1:25" ht="12.75">
      <c r="A8" s="4" t="s">
        <v>142</v>
      </c>
      <c r="B8" s="4" t="s">
        <v>143</v>
      </c>
      <c r="C8" s="8">
        <v>1252.57</v>
      </c>
      <c r="D8" s="30">
        <v>0.01776</v>
      </c>
      <c r="E8" s="30">
        <v>0.01399</v>
      </c>
      <c r="F8" s="9"/>
      <c r="G8" s="9"/>
      <c r="H8" s="9"/>
      <c r="I8" s="9"/>
      <c r="J8" s="9"/>
      <c r="K8" s="9"/>
      <c r="L8" s="9"/>
      <c r="M8" s="9"/>
      <c r="N8" s="9"/>
      <c r="O8" s="9"/>
      <c r="P8" s="9"/>
      <c r="W8" s="153"/>
      <c r="X8" s="153"/>
      <c r="Y8" s="153"/>
    </row>
    <row r="9" spans="1:25" ht="12.75">
      <c r="A9" s="4" t="s">
        <v>144</v>
      </c>
      <c r="B9" s="4" t="s">
        <v>145</v>
      </c>
      <c r="C9" s="8">
        <v>1220.11</v>
      </c>
      <c r="D9" s="30">
        <v>0.04119</v>
      </c>
      <c r="E9" s="30">
        <v>0.01525</v>
      </c>
      <c r="F9" s="9"/>
      <c r="G9" s="9"/>
      <c r="H9" s="9"/>
      <c r="I9" s="9"/>
      <c r="J9" s="9"/>
      <c r="K9" s="9"/>
      <c r="L9" s="9"/>
      <c r="M9" s="9"/>
      <c r="N9" s="9"/>
      <c r="O9" s="9"/>
      <c r="P9" s="9"/>
      <c r="W9" s="153"/>
      <c r="X9" s="153"/>
      <c r="Y9" s="153"/>
    </row>
    <row r="10" spans="1:25" ht="12.75">
      <c r="A10" s="4" t="s">
        <v>146</v>
      </c>
      <c r="B10" s="4" t="s">
        <v>147</v>
      </c>
      <c r="C10" s="8">
        <v>1343.82</v>
      </c>
      <c r="D10" s="30">
        <v>0.13515</v>
      </c>
      <c r="E10" s="30">
        <v>0.02171</v>
      </c>
      <c r="F10" s="9"/>
      <c r="G10" s="9"/>
      <c r="H10" s="9"/>
      <c r="I10" s="9"/>
      <c r="J10" s="9"/>
      <c r="K10" s="9"/>
      <c r="L10" s="9"/>
      <c r="M10" s="9"/>
      <c r="N10" s="9"/>
      <c r="O10" s="9"/>
      <c r="P10" s="9"/>
      <c r="W10" s="153"/>
      <c r="X10" s="153"/>
      <c r="Y10" s="153"/>
    </row>
    <row r="11" spans="1:25" ht="12.75">
      <c r="A11" s="4" t="s">
        <v>148</v>
      </c>
      <c r="B11" s="4" t="s">
        <v>149</v>
      </c>
      <c r="C11" s="8">
        <v>1620.76</v>
      </c>
      <c r="D11" s="30">
        <v>0.09105</v>
      </c>
      <c r="E11" s="30">
        <v>0.02089</v>
      </c>
      <c r="F11" s="9"/>
      <c r="G11" s="9"/>
      <c r="H11" s="9"/>
      <c r="I11" s="9"/>
      <c r="J11" s="9"/>
      <c r="K11" s="9"/>
      <c r="L11" s="9"/>
      <c r="M11" s="9"/>
      <c r="N11" s="9"/>
      <c r="O11" s="9"/>
      <c r="P11" s="9"/>
      <c r="W11" s="153"/>
      <c r="X11" s="153"/>
      <c r="Y11" s="153"/>
    </row>
    <row r="12" spans="1:25" ht="12.75">
      <c r="A12" s="4" t="s">
        <v>150</v>
      </c>
      <c r="B12" s="4" t="s">
        <v>151</v>
      </c>
      <c r="C12" s="8">
        <v>1692.32</v>
      </c>
      <c r="D12" s="30">
        <v>0.02879</v>
      </c>
      <c r="E12" s="30">
        <v>0.02905</v>
      </c>
      <c r="F12" s="9"/>
      <c r="G12" s="9"/>
      <c r="H12" s="9"/>
      <c r="I12" s="9"/>
      <c r="J12" s="9"/>
      <c r="K12" s="9"/>
      <c r="L12" s="9"/>
      <c r="M12" s="9"/>
      <c r="N12" s="9"/>
      <c r="O12" s="9"/>
      <c r="P12" s="9"/>
      <c r="W12" s="153"/>
      <c r="X12" s="153"/>
      <c r="Y12" s="153"/>
    </row>
    <row r="13" spans="1:25" ht="12.75">
      <c r="A13" s="4" t="s">
        <v>152</v>
      </c>
      <c r="B13" s="4" t="s">
        <v>153</v>
      </c>
      <c r="C13" s="8">
        <v>1722.67</v>
      </c>
      <c r="D13" s="30">
        <v>0.02897</v>
      </c>
      <c r="E13" s="30">
        <v>0.02919</v>
      </c>
      <c r="F13" s="9"/>
      <c r="G13" s="9"/>
      <c r="H13" s="9"/>
      <c r="I13" s="9"/>
      <c r="J13" s="9"/>
      <c r="K13" s="9"/>
      <c r="L13" s="9"/>
      <c r="M13" s="9"/>
      <c r="N13" s="9"/>
      <c r="O13" s="9"/>
      <c r="P13" s="9"/>
      <c r="W13" s="153"/>
      <c r="X13" s="153"/>
      <c r="Y13" s="153"/>
    </row>
    <row r="14" spans="1:25" ht="12.75">
      <c r="A14" s="4" t="s">
        <v>154</v>
      </c>
      <c r="B14" s="4" t="s">
        <v>155</v>
      </c>
      <c r="C14" s="8">
        <v>827.95</v>
      </c>
      <c r="D14" s="30">
        <v>0.07698</v>
      </c>
      <c r="E14" s="30">
        <v>0.0152</v>
      </c>
      <c r="F14" s="9"/>
      <c r="G14" s="9"/>
      <c r="H14" s="9"/>
      <c r="I14" s="9"/>
      <c r="J14" s="9"/>
      <c r="K14" s="9"/>
      <c r="L14" s="9"/>
      <c r="M14" s="9"/>
      <c r="N14" s="9"/>
      <c r="O14" s="9"/>
      <c r="P14" s="9"/>
      <c r="W14" s="153"/>
      <c r="X14" s="153"/>
      <c r="Y14" s="153"/>
    </row>
    <row r="15" spans="1:25" ht="12.75">
      <c r="A15" s="4" t="s">
        <v>156</v>
      </c>
      <c r="B15" s="4" t="s">
        <v>157</v>
      </c>
      <c r="C15" s="8">
        <v>858.79</v>
      </c>
      <c r="D15" s="30">
        <v>0.01634</v>
      </c>
      <c r="E15" s="30">
        <v>0.01364</v>
      </c>
      <c r="F15" s="9"/>
      <c r="G15" s="9"/>
      <c r="H15" s="9"/>
      <c r="I15" s="9"/>
      <c r="J15" s="9"/>
      <c r="K15" s="9"/>
      <c r="L15" s="9"/>
      <c r="M15" s="9"/>
      <c r="N15" s="9"/>
      <c r="O15" s="9"/>
      <c r="P15" s="9"/>
      <c r="W15" s="153"/>
      <c r="X15" s="153"/>
      <c r="Y15" s="153"/>
    </row>
    <row r="16" spans="1:25" ht="12.75">
      <c r="A16" s="4" t="s">
        <v>158</v>
      </c>
      <c r="B16" s="4" t="s">
        <v>159</v>
      </c>
      <c r="C16" s="8">
        <v>704.8</v>
      </c>
      <c r="D16" s="30">
        <v>0.02622</v>
      </c>
      <c r="E16" s="30">
        <v>0.00335</v>
      </c>
      <c r="F16" s="9"/>
      <c r="G16" s="9"/>
      <c r="H16" s="9"/>
      <c r="I16" s="9"/>
      <c r="J16" s="9"/>
      <c r="K16" s="9"/>
      <c r="L16" s="9"/>
      <c r="M16" s="9"/>
      <c r="N16" s="9"/>
      <c r="O16" s="9"/>
      <c r="P16" s="9"/>
      <c r="W16" s="153"/>
      <c r="X16" s="153"/>
      <c r="Y16" s="153"/>
    </row>
    <row r="17" spans="1:25" ht="12.75">
      <c r="A17" s="4" t="s">
        <v>160</v>
      </c>
      <c r="B17" s="4" t="s">
        <v>11</v>
      </c>
      <c r="C17" s="8">
        <v>1418.74</v>
      </c>
      <c r="D17" s="30">
        <v>0.0905</v>
      </c>
      <c r="E17" s="30">
        <v>0.0131</v>
      </c>
      <c r="F17" s="9"/>
      <c r="G17" s="9"/>
      <c r="H17" s="9"/>
      <c r="I17" s="9"/>
      <c r="J17" s="9"/>
      <c r="K17" s="9"/>
      <c r="L17" s="9"/>
      <c r="M17" s="9"/>
      <c r="N17" s="9"/>
      <c r="O17" s="9"/>
      <c r="P17" s="9"/>
      <c r="W17" s="153"/>
      <c r="X17" s="153"/>
      <c r="Y17" s="153"/>
    </row>
    <row r="18" spans="1:25" ht="12.75">
      <c r="A18" s="4" t="s">
        <v>12</v>
      </c>
      <c r="B18" s="4" t="s">
        <v>13</v>
      </c>
      <c r="C18" s="8">
        <v>683.27</v>
      </c>
      <c r="D18" s="30">
        <v>0.01741</v>
      </c>
      <c r="E18" s="30">
        <v>0.0099</v>
      </c>
      <c r="F18" s="9"/>
      <c r="G18" s="9"/>
      <c r="H18" s="9"/>
      <c r="I18" s="9"/>
      <c r="J18" s="9"/>
      <c r="K18" s="9"/>
      <c r="L18" s="9"/>
      <c r="M18" s="9"/>
      <c r="N18" s="9"/>
      <c r="O18" s="9"/>
      <c r="P18" s="9"/>
      <c r="W18" s="153"/>
      <c r="X18" s="153"/>
      <c r="Y18" s="153"/>
    </row>
    <row r="19" spans="1:25" ht="12.75">
      <c r="A19" s="4" t="s">
        <v>14</v>
      </c>
      <c r="B19" s="4" t="s">
        <v>15</v>
      </c>
      <c r="C19" s="8">
        <v>1059.32</v>
      </c>
      <c r="D19" s="30">
        <v>0.0274</v>
      </c>
      <c r="E19" s="30">
        <v>0.01703</v>
      </c>
      <c r="F19" s="9"/>
      <c r="G19" s="9"/>
      <c r="H19" s="9"/>
      <c r="I19" s="9"/>
      <c r="J19" s="9"/>
      <c r="K19" s="9"/>
      <c r="L19" s="9"/>
      <c r="M19" s="9"/>
      <c r="N19" s="9"/>
      <c r="O19" s="9"/>
      <c r="P19" s="9"/>
      <c r="W19" s="153"/>
      <c r="X19" s="153"/>
      <c r="Y19" s="153"/>
    </row>
    <row r="20" spans="1:25" ht="12.75">
      <c r="A20" s="4" t="s">
        <v>16</v>
      </c>
      <c r="B20" s="4" t="s">
        <v>17</v>
      </c>
      <c r="C20" s="8">
        <v>1651.11</v>
      </c>
      <c r="D20" s="30">
        <v>0.03255</v>
      </c>
      <c r="E20" s="30">
        <v>0.02779</v>
      </c>
      <c r="F20" s="9"/>
      <c r="G20" s="9"/>
      <c r="H20" s="9"/>
      <c r="I20" s="9"/>
      <c r="J20" s="9"/>
      <c r="K20" s="9"/>
      <c r="L20" s="9"/>
      <c r="M20" s="9"/>
      <c r="N20" s="9"/>
      <c r="O20" s="9"/>
      <c r="P20" s="9"/>
      <c r="W20" s="153"/>
      <c r="X20" s="153"/>
      <c r="Y20" s="153"/>
    </row>
    <row r="21" spans="1:25" ht="12.75">
      <c r="A21" s="4" t="s">
        <v>18</v>
      </c>
      <c r="B21" s="4" t="s">
        <v>19</v>
      </c>
      <c r="C21" s="8">
        <v>1551.52</v>
      </c>
      <c r="D21" s="30">
        <v>0.01837</v>
      </c>
      <c r="E21" s="30">
        <v>0.02593</v>
      </c>
      <c r="F21" s="9"/>
      <c r="G21" s="9"/>
      <c r="H21" s="9"/>
      <c r="I21" s="9"/>
      <c r="J21" s="9"/>
      <c r="K21" s="9"/>
      <c r="L21" s="9"/>
      <c r="M21" s="9"/>
      <c r="N21" s="9"/>
      <c r="O21" s="9"/>
      <c r="P21" s="9"/>
      <c r="W21" s="153"/>
      <c r="X21" s="153"/>
      <c r="Y21" s="153"/>
    </row>
    <row r="22" spans="1:25" ht="12.75">
      <c r="A22" s="4" t="s">
        <v>20</v>
      </c>
      <c r="B22" s="4" t="s">
        <v>21</v>
      </c>
      <c r="C22" s="8">
        <v>1906.06</v>
      </c>
      <c r="D22" s="30">
        <v>0.02363</v>
      </c>
      <c r="E22" s="30">
        <v>0.02889</v>
      </c>
      <c r="F22" s="9"/>
      <c r="G22" s="9"/>
      <c r="H22" s="9"/>
      <c r="I22" s="9"/>
      <c r="J22" s="9"/>
      <c r="K22" s="9"/>
      <c r="L22" s="9"/>
      <c r="M22" s="9"/>
      <c r="N22" s="9"/>
      <c r="O22" s="9"/>
      <c r="P22" s="9"/>
      <c r="W22" s="153"/>
      <c r="X22" s="153"/>
      <c r="Y22" s="153"/>
    </row>
    <row r="23" spans="1:25" ht="12.75">
      <c r="A23" s="4" t="s">
        <v>22</v>
      </c>
      <c r="B23" s="4" t="s">
        <v>23</v>
      </c>
      <c r="C23" s="8">
        <v>1798.71</v>
      </c>
      <c r="D23" s="30">
        <v>0.02122</v>
      </c>
      <c r="E23" s="30">
        <v>0.0292</v>
      </c>
      <c r="F23" s="9"/>
      <c r="G23" s="9"/>
      <c r="H23" s="9"/>
      <c r="I23" s="9"/>
      <c r="J23" s="9"/>
      <c r="K23" s="9"/>
      <c r="L23" s="9"/>
      <c r="M23" s="9"/>
      <c r="N23" s="9"/>
      <c r="O23" s="9"/>
      <c r="P23" s="9"/>
      <c r="W23" s="153"/>
      <c r="X23" s="153"/>
      <c r="Y23" s="153"/>
    </row>
    <row r="24" spans="1:25" ht="12.75">
      <c r="A24" s="4" t="s">
        <v>24</v>
      </c>
      <c r="B24" s="4" t="s">
        <v>25</v>
      </c>
      <c r="C24" s="8">
        <v>1624.03</v>
      </c>
      <c r="D24" s="30">
        <v>0.02452</v>
      </c>
      <c r="E24" s="30">
        <v>0.02242</v>
      </c>
      <c r="F24" s="9"/>
      <c r="G24" s="9"/>
      <c r="H24" s="9"/>
      <c r="I24" s="9"/>
      <c r="J24" s="9"/>
      <c r="K24" s="9"/>
      <c r="L24" s="9"/>
      <c r="M24" s="9"/>
      <c r="N24" s="9"/>
      <c r="O24" s="9"/>
      <c r="P24" s="9"/>
      <c r="W24" s="153"/>
      <c r="X24" s="153"/>
      <c r="Y24" s="153"/>
    </row>
    <row r="25" spans="1:25" ht="12.75">
      <c r="A25" s="4" t="s">
        <v>26</v>
      </c>
      <c r="B25" s="4" t="s">
        <v>27</v>
      </c>
      <c r="C25" s="8">
        <v>1004.1</v>
      </c>
      <c r="D25" s="30">
        <v>0.0218</v>
      </c>
      <c r="E25" s="30">
        <v>0.01115</v>
      </c>
      <c r="F25" s="9"/>
      <c r="G25" s="9"/>
      <c r="H25" s="9"/>
      <c r="I25" s="9"/>
      <c r="J25" s="9"/>
      <c r="K25" s="9"/>
      <c r="L25" s="9"/>
      <c r="M25" s="9"/>
      <c r="N25" s="9"/>
      <c r="O25" s="9"/>
      <c r="P25" s="9"/>
      <c r="W25" s="153"/>
      <c r="X25" s="153"/>
      <c r="Y25" s="153"/>
    </row>
    <row r="26" spans="1:25" ht="12.75">
      <c r="A26" s="4" t="s">
        <v>28</v>
      </c>
      <c r="B26" s="4" t="s">
        <v>29</v>
      </c>
      <c r="C26" s="8">
        <v>1779.27</v>
      </c>
      <c r="D26" s="30">
        <v>0.02057</v>
      </c>
      <c r="E26" s="30">
        <v>0.0296</v>
      </c>
      <c r="F26" s="9"/>
      <c r="G26" s="9"/>
      <c r="H26" s="9"/>
      <c r="I26" s="9"/>
      <c r="J26" s="9"/>
      <c r="K26" s="9"/>
      <c r="L26" s="9"/>
      <c r="M26" s="9"/>
      <c r="N26" s="9"/>
      <c r="O26" s="9"/>
      <c r="P26" s="9"/>
      <c r="W26" s="153"/>
      <c r="X26" s="153"/>
      <c r="Y26" s="153"/>
    </row>
    <row r="27" spans="1:25" ht="12.75">
      <c r="A27" s="4" t="s">
        <v>30</v>
      </c>
      <c r="B27" s="4" t="s">
        <v>31</v>
      </c>
      <c r="C27" s="8">
        <v>1495.47</v>
      </c>
      <c r="D27" s="30">
        <v>0.02364</v>
      </c>
      <c r="E27" s="30">
        <v>0.02457</v>
      </c>
      <c r="F27" s="9"/>
      <c r="G27" s="9"/>
      <c r="H27" s="9"/>
      <c r="I27" s="9"/>
      <c r="J27" s="9"/>
      <c r="K27" s="9"/>
      <c r="L27" s="9"/>
      <c r="M27" s="9"/>
      <c r="N27" s="9"/>
      <c r="O27" s="9"/>
      <c r="P27" s="9"/>
      <c r="W27" s="153"/>
      <c r="X27" s="153"/>
      <c r="Y27" s="153"/>
    </row>
    <row r="28" spans="1:25" ht="12.75">
      <c r="A28" s="4" t="s">
        <v>32</v>
      </c>
      <c r="B28" s="4" t="s">
        <v>33</v>
      </c>
      <c r="C28" s="8">
        <v>1540.85</v>
      </c>
      <c r="D28" s="30">
        <v>0.01987</v>
      </c>
      <c r="E28" s="30">
        <v>0.02548</v>
      </c>
      <c r="F28" s="9"/>
      <c r="G28" s="9"/>
      <c r="H28" s="9"/>
      <c r="I28" s="9"/>
      <c r="J28" s="9"/>
      <c r="K28" s="9"/>
      <c r="L28" s="9"/>
      <c r="M28" s="9"/>
      <c r="N28" s="9"/>
      <c r="O28" s="9"/>
      <c r="P28" s="9"/>
      <c r="W28" s="153"/>
      <c r="X28" s="153"/>
      <c r="Y28" s="153"/>
    </row>
    <row r="29" spans="1:25" ht="12.75">
      <c r="A29" s="4" t="s">
        <v>34</v>
      </c>
      <c r="B29" s="4" t="s">
        <v>116</v>
      </c>
      <c r="C29" s="8">
        <v>1118.41</v>
      </c>
      <c r="D29" s="30">
        <v>0.02226</v>
      </c>
      <c r="E29" s="30">
        <v>0.01908</v>
      </c>
      <c r="F29" s="9"/>
      <c r="G29" s="9"/>
      <c r="H29" s="9"/>
      <c r="I29" s="9"/>
      <c r="J29" s="9"/>
      <c r="K29" s="9"/>
      <c r="L29" s="9"/>
      <c r="M29" s="9"/>
      <c r="N29" s="9"/>
      <c r="O29" s="9"/>
      <c r="P29" s="9"/>
      <c r="W29" s="153"/>
      <c r="X29" s="153"/>
      <c r="Y29" s="153"/>
    </row>
    <row r="30" spans="1:25" ht="12.75">
      <c r="A30" s="4"/>
      <c r="B30" s="4" t="s">
        <v>35</v>
      </c>
      <c r="C30" s="148">
        <v>1293.05</v>
      </c>
      <c r="D30" s="147">
        <v>0.02507</v>
      </c>
      <c r="E30" s="147">
        <v>0.01964</v>
      </c>
      <c r="F30" s="9"/>
      <c r="G30" s="31"/>
      <c r="H30" s="31"/>
      <c r="I30" s="31"/>
      <c r="J30" s="31"/>
      <c r="K30" s="31"/>
      <c r="L30" s="9"/>
      <c r="M30" s="9"/>
      <c r="N30" s="9"/>
      <c r="O30" s="9"/>
      <c r="P30" s="9"/>
      <c r="W30" s="153"/>
      <c r="X30" s="153"/>
      <c r="Y30" s="153"/>
    </row>
    <row r="31" spans="1:8" ht="12.75">
      <c r="A31" s="119" t="s">
        <v>63</v>
      </c>
      <c r="B31" s="145" t="s">
        <v>174</v>
      </c>
      <c r="C31" s="144">
        <v>352.8</v>
      </c>
      <c r="D31" s="143">
        <v>0.02205</v>
      </c>
      <c r="E31" s="143">
        <v>0.006615</v>
      </c>
      <c r="F31" s="86"/>
      <c r="G31" s="87"/>
      <c r="H31" s="87"/>
    </row>
    <row r="32" spans="1:8" ht="12.75">
      <c r="A32" s="88" t="s">
        <v>56</v>
      </c>
      <c r="B32" s="88" t="s">
        <v>56</v>
      </c>
      <c r="C32" s="144">
        <v>1642.37</v>
      </c>
      <c r="D32" s="143">
        <v>0.0322</v>
      </c>
      <c r="E32" s="143">
        <v>0.0406</v>
      </c>
      <c r="F32" s="86"/>
      <c r="G32" s="87"/>
      <c r="H32" s="87"/>
    </row>
    <row r="33" spans="1:8" ht="12.75">
      <c r="A33" s="88" t="s">
        <v>2</v>
      </c>
      <c r="B33" s="88" t="s">
        <v>2</v>
      </c>
      <c r="C33" s="144">
        <v>962.38</v>
      </c>
      <c r="D33" s="143">
        <v>0.0185</v>
      </c>
      <c r="E33" s="143">
        <v>0.0104</v>
      </c>
      <c r="F33" s="86"/>
      <c r="G33" s="87"/>
      <c r="H33" s="87"/>
    </row>
    <row r="34" spans="1:20" ht="12.75">
      <c r="A34" s="88" t="s">
        <v>57</v>
      </c>
      <c r="B34" s="88" t="s">
        <v>57</v>
      </c>
      <c r="C34" s="144">
        <v>1446.3</v>
      </c>
      <c r="D34" s="143">
        <v>0.0437</v>
      </c>
      <c r="E34" s="143">
        <v>0.0082</v>
      </c>
      <c r="F34" s="86"/>
      <c r="G34" s="87"/>
      <c r="H34" s="87"/>
      <c r="R34" s="152"/>
      <c r="S34" s="152"/>
      <c r="T34" s="152"/>
    </row>
    <row r="35" spans="1:20" ht="12.75">
      <c r="A35" s="88" t="s">
        <v>59</v>
      </c>
      <c r="B35" s="88" t="s">
        <v>59</v>
      </c>
      <c r="C35" s="144">
        <v>970.12</v>
      </c>
      <c r="D35" s="143">
        <v>0.037</v>
      </c>
      <c r="E35" s="143">
        <v>0.0051</v>
      </c>
      <c r="F35" s="86"/>
      <c r="G35" s="87"/>
      <c r="H35" s="87"/>
      <c r="R35" s="152"/>
      <c r="S35" s="152"/>
      <c r="T35" s="152"/>
    </row>
    <row r="36" spans="1:20" ht="12.75">
      <c r="A36" s="88" t="s">
        <v>58</v>
      </c>
      <c r="B36" s="88" t="s">
        <v>58</v>
      </c>
      <c r="C36" s="144">
        <v>1433.79</v>
      </c>
      <c r="D36" s="143">
        <v>0.0304</v>
      </c>
      <c r="E36" s="143">
        <v>0.0194</v>
      </c>
      <c r="F36" s="86"/>
      <c r="G36" s="87"/>
      <c r="H36" s="87"/>
      <c r="R36" s="152"/>
      <c r="S36" s="152"/>
      <c r="T36" s="152"/>
    </row>
    <row r="37" spans="1:20" ht="12.75">
      <c r="A37" s="14" t="s">
        <v>176</v>
      </c>
      <c r="R37" s="152"/>
      <c r="S37" s="152"/>
      <c r="T37" s="152"/>
    </row>
    <row r="38" spans="1:20" ht="12.75">
      <c r="A38" s="14" t="s">
        <v>180</v>
      </c>
      <c r="R38" s="152"/>
      <c r="S38" s="152"/>
      <c r="T38" s="152"/>
    </row>
    <row r="39" ht="12.75">
      <c r="A39" s="14" t="s">
        <v>177</v>
      </c>
    </row>
    <row r="40" ht="12.75">
      <c r="A40" s="14" t="s">
        <v>181</v>
      </c>
    </row>
    <row r="41" spans="1:23" ht="12.75">
      <c r="A41" s="14" t="s">
        <v>182</v>
      </c>
      <c r="U41" s="152"/>
      <c r="V41" s="152"/>
      <c r="W41" s="152"/>
    </row>
    <row r="42" ht="12.75">
      <c r="A42" s="14" t="s">
        <v>5</v>
      </c>
    </row>
    <row r="43" ht="12.75">
      <c r="A43" s="14" t="s">
        <v>175</v>
      </c>
    </row>
    <row r="47" spans="1:5" ht="12.75">
      <c r="A47" s="99" t="s">
        <v>202</v>
      </c>
      <c r="B47" s="99"/>
      <c r="C47" s="99"/>
      <c r="D47" s="2"/>
      <c r="E47" s="2"/>
    </row>
    <row r="48" spans="1:5" ht="12.75">
      <c r="A48" s="95" t="s">
        <v>201</v>
      </c>
      <c r="B48" s="99"/>
      <c r="C48" s="99"/>
      <c r="D48" s="2"/>
      <c r="E48" s="2"/>
    </row>
    <row r="49" spans="1:15" ht="25.5">
      <c r="A49" s="3" t="s">
        <v>132</v>
      </c>
      <c r="B49" s="3" t="s">
        <v>133</v>
      </c>
      <c r="C49" s="29" t="s">
        <v>74</v>
      </c>
      <c r="D49" s="29" t="s">
        <v>75</v>
      </c>
      <c r="E49" s="29" t="s">
        <v>76</v>
      </c>
      <c r="K49" s="151"/>
      <c r="L49" s="151"/>
      <c r="M49" s="151"/>
      <c r="N49" s="151"/>
      <c r="O49" s="151"/>
    </row>
    <row r="50" spans="1:18" ht="12.75">
      <c r="A50" s="4" t="s">
        <v>134</v>
      </c>
      <c r="B50" s="4" t="s">
        <v>135</v>
      </c>
      <c r="C50" s="8">
        <v>1363.19</v>
      </c>
      <c r="D50" s="30">
        <v>0.03499</v>
      </c>
      <c r="E50" s="30">
        <v>0.00695</v>
      </c>
      <c r="P50" s="153"/>
      <c r="Q50" s="153"/>
      <c r="R50" s="153"/>
    </row>
    <row r="51" spans="1:18" ht="12.75">
      <c r="A51" s="4" t="s">
        <v>136</v>
      </c>
      <c r="B51" s="4" t="s">
        <v>137</v>
      </c>
      <c r="C51" s="8">
        <v>1462.3</v>
      </c>
      <c r="D51" s="30">
        <v>0.06168</v>
      </c>
      <c r="E51" s="30">
        <v>0.01218</v>
      </c>
      <c r="P51" s="153"/>
      <c r="Q51" s="153"/>
      <c r="R51" s="153"/>
    </row>
    <row r="52" spans="1:18" ht="12.75">
      <c r="A52" s="4" t="s">
        <v>138</v>
      </c>
      <c r="B52" s="4" t="s">
        <v>139</v>
      </c>
      <c r="C52" s="8">
        <v>1211.84</v>
      </c>
      <c r="D52" s="30">
        <v>0.02056</v>
      </c>
      <c r="E52" s="30">
        <v>0.00931</v>
      </c>
      <c r="P52" s="153"/>
      <c r="Q52" s="153"/>
      <c r="R52" s="153"/>
    </row>
    <row r="53" spans="1:18" ht="12.75">
      <c r="A53" s="4" t="s">
        <v>140</v>
      </c>
      <c r="B53" s="4" t="s">
        <v>141</v>
      </c>
      <c r="C53" s="8">
        <v>1045.3</v>
      </c>
      <c r="D53" s="30">
        <v>0.03942</v>
      </c>
      <c r="E53" s="30">
        <v>0.00474</v>
      </c>
      <c r="P53" s="153"/>
      <c r="Q53" s="153"/>
      <c r="R53" s="153"/>
    </row>
    <row r="54" spans="1:18" ht="12.75">
      <c r="A54" s="4" t="s">
        <v>142</v>
      </c>
      <c r="B54" s="4" t="s">
        <v>143</v>
      </c>
      <c r="C54" s="8">
        <v>1096.19</v>
      </c>
      <c r="D54" s="30">
        <v>0.01969</v>
      </c>
      <c r="E54" s="30">
        <v>0.00563</v>
      </c>
      <c r="P54" s="153"/>
      <c r="Q54" s="153"/>
      <c r="R54" s="153"/>
    </row>
    <row r="55" spans="1:18" ht="12.75">
      <c r="A55" s="4" t="s">
        <v>144</v>
      </c>
      <c r="B55" s="4" t="s">
        <v>145</v>
      </c>
      <c r="C55" s="8">
        <v>1286.41</v>
      </c>
      <c r="D55" s="30">
        <v>0.0434</v>
      </c>
      <c r="E55" s="30">
        <v>0.0115</v>
      </c>
      <c r="P55" s="153"/>
      <c r="Q55" s="153"/>
      <c r="R55" s="153"/>
    </row>
    <row r="56" spans="1:18" ht="12.75">
      <c r="A56" s="4" t="s">
        <v>146</v>
      </c>
      <c r="B56" s="4" t="s">
        <v>147</v>
      </c>
      <c r="C56" s="8">
        <v>1645.57</v>
      </c>
      <c r="D56" s="30">
        <v>0.12294</v>
      </c>
      <c r="E56" s="30">
        <v>0.02133</v>
      </c>
      <c r="P56" s="153"/>
      <c r="Q56" s="153"/>
      <c r="R56" s="153"/>
    </row>
    <row r="57" spans="1:18" ht="12.75">
      <c r="A57" s="4" t="s">
        <v>148</v>
      </c>
      <c r="B57" s="4" t="s">
        <v>149</v>
      </c>
      <c r="C57" s="8">
        <v>1630.89</v>
      </c>
      <c r="D57" s="30">
        <v>0.10618</v>
      </c>
      <c r="E57" s="30">
        <v>0.01852</v>
      </c>
      <c r="P57" s="153"/>
      <c r="Q57" s="153"/>
      <c r="R57" s="153"/>
    </row>
    <row r="58" spans="1:18" ht="12.75">
      <c r="A58" s="4" t="s">
        <v>150</v>
      </c>
      <c r="B58" s="4" t="s">
        <v>151</v>
      </c>
      <c r="C58" s="8">
        <v>1905.18</v>
      </c>
      <c r="D58" s="30">
        <v>0.03525</v>
      </c>
      <c r="E58" s="30">
        <v>0.02998</v>
      </c>
      <c r="P58" s="153"/>
      <c r="Q58" s="153"/>
      <c r="R58" s="153"/>
    </row>
    <row r="59" spans="1:18" ht="12.75">
      <c r="A59" s="4" t="s">
        <v>152</v>
      </c>
      <c r="B59" s="4" t="s">
        <v>153</v>
      </c>
      <c r="C59" s="8">
        <v>1988.69</v>
      </c>
      <c r="D59" s="30">
        <v>0.05359</v>
      </c>
      <c r="E59" s="30">
        <v>0.03298</v>
      </c>
      <c r="P59" s="153"/>
      <c r="Q59" s="153"/>
      <c r="R59" s="153"/>
    </row>
    <row r="60" spans="1:18" ht="12.75">
      <c r="A60" s="4" t="s">
        <v>154</v>
      </c>
      <c r="B60" s="4" t="s">
        <v>155</v>
      </c>
      <c r="C60" s="8">
        <v>1204.91</v>
      </c>
      <c r="D60" s="30">
        <v>0.06069</v>
      </c>
      <c r="E60" s="30">
        <v>0.01341</v>
      </c>
      <c r="P60" s="153"/>
      <c r="Q60" s="153"/>
      <c r="R60" s="153"/>
    </row>
    <row r="61" spans="1:18" ht="12.75">
      <c r="A61" s="4" t="s">
        <v>156</v>
      </c>
      <c r="B61" s="4" t="s">
        <v>157</v>
      </c>
      <c r="C61" s="8">
        <v>1279.58</v>
      </c>
      <c r="D61" s="30">
        <v>0.04331</v>
      </c>
      <c r="E61" s="30">
        <v>0.01575</v>
      </c>
      <c r="P61" s="153"/>
      <c r="Q61" s="153"/>
      <c r="R61" s="153"/>
    </row>
    <row r="62" spans="1:18" ht="12.75">
      <c r="A62" s="4" t="s">
        <v>158</v>
      </c>
      <c r="B62" s="4" t="s">
        <v>159</v>
      </c>
      <c r="C62" s="8">
        <v>1234.06</v>
      </c>
      <c r="D62" s="30">
        <v>0.03765</v>
      </c>
      <c r="E62" s="30">
        <v>0.00488</v>
      </c>
      <c r="P62" s="153"/>
      <c r="Q62" s="153"/>
      <c r="R62" s="153"/>
    </row>
    <row r="63" spans="1:18" ht="12.75">
      <c r="A63" s="4" t="s">
        <v>160</v>
      </c>
      <c r="B63" s="4" t="s">
        <v>11</v>
      </c>
      <c r="C63" s="8">
        <v>1397.8</v>
      </c>
      <c r="D63" s="30">
        <v>0.04408</v>
      </c>
      <c r="E63" s="30">
        <v>0.00699</v>
      </c>
      <c r="P63" s="153"/>
      <c r="Q63" s="153"/>
      <c r="R63" s="153"/>
    </row>
    <row r="64" spans="1:18" ht="12.75">
      <c r="A64" s="4" t="s">
        <v>12</v>
      </c>
      <c r="B64" s="4" t="s">
        <v>13</v>
      </c>
      <c r="C64" s="8">
        <v>1384.2</v>
      </c>
      <c r="D64" s="30">
        <v>0.03155</v>
      </c>
      <c r="E64" s="30">
        <v>0.01619</v>
      </c>
      <c r="P64" s="153"/>
      <c r="Q64" s="153"/>
      <c r="R64" s="153"/>
    </row>
    <row r="65" spans="1:18" ht="12.75">
      <c r="A65" s="4" t="s">
        <v>14</v>
      </c>
      <c r="B65" s="4" t="s">
        <v>15</v>
      </c>
      <c r="C65" s="8">
        <v>1671.96</v>
      </c>
      <c r="D65" s="30">
        <v>0.03329</v>
      </c>
      <c r="E65" s="30">
        <v>0.02219</v>
      </c>
      <c r="P65" s="153"/>
      <c r="Q65" s="153"/>
      <c r="R65" s="153"/>
    </row>
    <row r="66" spans="1:18" ht="12.75">
      <c r="A66" s="4" t="s">
        <v>16</v>
      </c>
      <c r="B66" s="4" t="s">
        <v>17</v>
      </c>
      <c r="C66" s="8">
        <v>1803.64</v>
      </c>
      <c r="D66" s="30">
        <v>0.03209</v>
      </c>
      <c r="E66" s="30">
        <v>0.02733</v>
      </c>
      <c r="P66" s="153"/>
      <c r="Q66" s="153"/>
      <c r="R66" s="153"/>
    </row>
    <row r="67" spans="1:18" ht="12.75">
      <c r="A67" s="4" t="s">
        <v>18</v>
      </c>
      <c r="B67" s="4" t="s">
        <v>19</v>
      </c>
      <c r="C67" s="8">
        <v>1982.05</v>
      </c>
      <c r="D67" s="30">
        <v>0.0243</v>
      </c>
      <c r="E67" s="30">
        <v>0.03148</v>
      </c>
      <c r="P67" s="153"/>
      <c r="Q67" s="153"/>
      <c r="R67" s="153"/>
    </row>
    <row r="68" spans="1:18" ht="12.75">
      <c r="A68" s="4" t="s">
        <v>20</v>
      </c>
      <c r="B68" s="4" t="s">
        <v>21</v>
      </c>
      <c r="C68" s="8">
        <v>1554.38</v>
      </c>
      <c r="D68" s="30">
        <v>0.02317</v>
      </c>
      <c r="E68" s="30">
        <v>0.01645</v>
      </c>
      <c r="P68" s="153"/>
      <c r="Q68" s="153"/>
      <c r="R68" s="153"/>
    </row>
    <row r="69" spans="1:18" ht="12.75">
      <c r="A69" s="4" t="s">
        <v>22</v>
      </c>
      <c r="B69" s="4" t="s">
        <v>23</v>
      </c>
      <c r="C69" s="8">
        <v>1958.22</v>
      </c>
      <c r="D69" s="30">
        <v>0.0254</v>
      </c>
      <c r="E69" s="30">
        <v>0.02775</v>
      </c>
      <c r="P69" s="153"/>
      <c r="Q69" s="153"/>
      <c r="R69" s="153"/>
    </row>
    <row r="70" spans="1:18" ht="12.75">
      <c r="A70" s="4" t="s">
        <v>24</v>
      </c>
      <c r="B70" s="4" t="s">
        <v>25</v>
      </c>
      <c r="C70" s="8">
        <v>1435.24</v>
      </c>
      <c r="D70" s="30">
        <v>0.02503</v>
      </c>
      <c r="E70" s="30">
        <v>0.01314</v>
      </c>
      <c r="P70" s="153"/>
      <c r="Q70" s="153"/>
      <c r="R70" s="153"/>
    </row>
    <row r="71" spans="1:18" ht="12.75">
      <c r="A71" s="4" t="s">
        <v>26</v>
      </c>
      <c r="B71" s="4" t="s">
        <v>27</v>
      </c>
      <c r="C71" s="8">
        <v>1171.05</v>
      </c>
      <c r="D71" s="30">
        <v>0.02825</v>
      </c>
      <c r="E71" s="30">
        <v>0.00691</v>
      </c>
      <c r="P71" s="153"/>
      <c r="Q71" s="153"/>
      <c r="R71" s="153"/>
    </row>
    <row r="72" spans="1:18" ht="12.75">
      <c r="A72" s="4" t="s">
        <v>28</v>
      </c>
      <c r="B72" s="4" t="s">
        <v>29</v>
      </c>
      <c r="C72" s="8">
        <v>1945.66</v>
      </c>
      <c r="D72" s="30">
        <v>0.02402</v>
      </c>
      <c r="E72" s="30">
        <v>0.02969</v>
      </c>
      <c r="P72" s="153"/>
      <c r="Q72" s="153"/>
      <c r="R72" s="153"/>
    </row>
    <row r="73" spans="1:18" ht="12.75">
      <c r="A73" s="4" t="s">
        <v>30</v>
      </c>
      <c r="B73" s="4" t="s">
        <v>31</v>
      </c>
      <c r="C73" s="8">
        <v>1551.05</v>
      </c>
      <c r="D73" s="30">
        <v>0.0285</v>
      </c>
      <c r="E73" s="30">
        <v>0.02169</v>
      </c>
      <c r="P73" s="153"/>
      <c r="Q73" s="153"/>
      <c r="R73" s="153"/>
    </row>
    <row r="74" spans="1:18" ht="12.75">
      <c r="A74" s="4" t="s">
        <v>32</v>
      </c>
      <c r="B74" s="4" t="s">
        <v>33</v>
      </c>
      <c r="C74" s="8">
        <v>1917.25</v>
      </c>
      <c r="D74" s="30">
        <v>0.02598</v>
      </c>
      <c r="E74" s="30">
        <v>0.03005</v>
      </c>
      <c r="P74" s="153"/>
      <c r="Q74" s="153"/>
      <c r="R74" s="153"/>
    </row>
    <row r="75" spans="1:18" ht="12.75">
      <c r="A75" s="4" t="s">
        <v>34</v>
      </c>
      <c r="B75" s="4" t="s">
        <v>116</v>
      </c>
      <c r="C75" s="8">
        <v>1661.11</v>
      </c>
      <c r="D75" s="30">
        <v>0.03801</v>
      </c>
      <c r="E75" s="30">
        <v>0.02451</v>
      </c>
      <c r="P75" s="153"/>
      <c r="Q75" s="153"/>
      <c r="R75" s="153"/>
    </row>
    <row r="76" spans="1:18" ht="12.75">
      <c r="A76" s="4"/>
      <c r="B76" s="4" t="s">
        <v>35</v>
      </c>
      <c r="C76" s="148">
        <v>1520.21</v>
      </c>
      <c r="D76" s="147">
        <v>0.03223</v>
      </c>
      <c r="E76" s="147">
        <v>0.01841</v>
      </c>
      <c r="P76" s="153"/>
      <c r="Q76" s="153"/>
      <c r="R76" s="153"/>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Katie Smith</cp:lastModifiedBy>
  <cp:lastPrinted>2009-01-08T22:03:24Z</cp:lastPrinted>
  <dcterms:created xsi:type="dcterms:W3CDTF">2003-02-27T15:36:38Z</dcterms:created>
  <dcterms:modified xsi:type="dcterms:W3CDTF">2011-08-15T20:38:16Z</dcterms:modified>
  <cp:category/>
  <cp:version/>
  <cp:contentType/>
  <cp:contentStatus/>
</cp:coreProperties>
</file>