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970" windowWidth="15480" windowHeight="6390" tabRatio="637" activeTab="1"/>
  </bookViews>
  <sheets>
    <sheet name="Reporting input" sheetId="1" r:id="rId1"/>
    <sheet name="Grand Totals" sheetId="2" r:id="rId2"/>
    <sheet name="Electricity" sheetId="3" r:id="rId3"/>
    <sheet name="Stationary Combustion" sheetId="4" r:id="rId4"/>
    <sheet name="Mobile Sources" sheetId="5" r:id="rId5"/>
    <sheet name="Emission factors" sheetId="6" r:id="rId6"/>
  </sheets>
  <definedNames>
    <definedName name="_xlnm.Print_Area" localSheetId="0">'Reporting input'!$A$3:$B$160</definedName>
    <definedName name="_xlnm.Print_Titles" localSheetId="0">'Reporting input'!$A:$A,'Reporting input'!$3:$3</definedName>
  </definedNames>
  <calcPr fullCalcOnLoad="1"/>
</workbook>
</file>

<file path=xl/comments4.xml><?xml version="1.0" encoding="utf-8"?>
<comments xmlns="http://schemas.openxmlformats.org/spreadsheetml/2006/main">
  <authors>
    <author>Eric Christensen</author>
  </authors>
  <commentList>
    <comment ref="B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B-3</t>
        </r>
      </text>
    </comment>
    <comment ref="E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B-3</t>
        </r>
      </text>
    </comment>
    <comment ref="C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A-1</t>
        </r>
      </text>
    </comment>
    <comment ref="D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A-1</t>
        </r>
      </text>
    </comment>
    <comment ref="B12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This is low, but Ken Perkins confirmed it.  Warehouse in LA doesn't need much heat.</t>
        </r>
      </text>
    </comment>
  </commentList>
</comments>
</file>

<file path=xl/comments5.xml><?xml version="1.0" encoding="utf-8"?>
<comments xmlns="http://schemas.openxmlformats.org/spreadsheetml/2006/main">
  <authors>
    <author>Eric Christensen</author>
  </authors>
  <commentList>
    <comment ref="B5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5</t>
        </r>
      </text>
    </comment>
    <comment ref="B6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5</t>
        </r>
      </text>
    </comment>
    <comment ref="G8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3</t>
        </r>
      </text>
    </comment>
    <comment ref="I8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3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Eric Christensen
</t>
        </r>
        <r>
          <rPr>
            <sz val="8"/>
            <rFont val="Tahoma"/>
            <family val="2"/>
          </rPr>
          <t>Estimated</t>
        </r>
      </text>
    </comment>
    <comment ref="D9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Toyota Sienna, assumed 1999.  fueleconomy.gov</t>
        </r>
      </text>
    </comment>
  </commentList>
</comments>
</file>

<file path=xl/comments6.xml><?xml version="1.0" encoding="utf-8"?>
<comments xmlns="http://schemas.openxmlformats.org/spreadsheetml/2006/main">
  <authors>
    <author>Eric Christensen</author>
  </authors>
  <commentList>
    <comment ref="H3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CERUPT Netherlands factor for Caribbean islands with diesel-fired electricity.  90+% of Puerto Rico power is diesel -fired (per Puerto Rico Electric Power Authority).    </t>
        </r>
      </text>
    </comment>
    <comment ref="J3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Assuming equal to Hawaii Misc. grid, which has similar CO2 emission factor and is also predominantly oil-fired</t>
        </r>
      </text>
    </comment>
    <comment ref="K3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Assuming equal to Hawaii Misc. grid, which has similar CO2 emission factor and is also predominantly oil-fired</t>
        </r>
      </text>
    </comment>
  </commentList>
</comments>
</file>

<file path=xl/sharedStrings.xml><?xml version="1.0" encoding="utf-8"?>
<sst xmlns="http://schemas.openxmlformats.org/spreadsheetml/2006/main" count="261" uniqueCount="162">
  <si>
    <t>MMBtu/gal HHV</t>
  </si>
  <si>
    <t>Heat Content</t>
  </si>
  <si>
    <t>Fuel Use (MMBtu)</t>
  </si>
  <si>
    <t>Fuel Use (gallons)</t>
  </si>
  <si>
    <t>Btu/cubic ft HHV</t>
  </si>
  <si>
    <t>Facility</t>
  </si>
  <si>
    <t>Purchased Electricity (kWh)</t>
  </si>
  <si>
    <t xml:space="preserve">CO2 Emissions (metric t CO2) </t>
  </si>
  <si>
    <t>Natural Gas</t>
  </si>
  <si>
    <t>mt CO2e</t>
  </si>
  <si>
    <t>of total</t>
  </si>
  <si>
    <t>NPCC New England</t>
  </si>
  <si>
    <t>NPCC NYC/Westchester</t>
  </si>
  <si>
    <t>NPCC Long Island</t>
  </si>
  <si>
    <t>NPCC Upstate New York</t>
  </si>
  <si>
    <t>MAAC All</t>
  </si>
  <si>
    <t>SERC Virginia/Carolina</t>
  </si>
  <si>
    <t>SERC Tennessee Valley</t>
  </si>
  <si>
    <t>SERC Mississippi Valley</t>
  </si>
  <si>
    <t>SERC South</t>
  </si>
  <si>
    <t>FRCC All</t>
  </si>
  <si>
    <t>ECAR Michigan</t>
  </si>
  <si>
    <t>eGRID EMISSION FACTORS</t>
  </si>
  <si>
    <t>FROM eGRID 2002 v. 2.01, YEAR 2000 DATA</t>
  </si>
  <si>
    <t>eGRID Subregion</t>
  </si>
  <si>
    <t>ECAR Ohio Valley</t>
  </si>
  <si>
    <t>MAIN North</t>
  </si>
  <si>
    <t>MAIN South</t>
  </si>
  <si>
    <t>MAPP All</t>
  </si>
  <si>
    <t>SPP North</t>
  </si>
  <si>
    <t>SPP South</t>
  </si>
  <si>
    <t>ERCOT All</t>
  </si>
  <si>
    <t>WSCC Rockies</t>
  </si>
  <si>
    <t>Required:</t>
  </si>
  <si>
    <t>Optional:</t>
  </si>
  <si>
    <t>Calculated:</t>
  </si>
  <si>
    <t>Corporate Inventory - U.S.</t>
  </si>
  <si>
    <t>Purchased and Consumed Electricity</t>
  </si>
  <si>
    <t>Purchased and Consumed Steam</t>
  </si>
  <si>
    <t>Optional Emissions</t>
  </si>
  <si>
    <t>Direct + Indirect + Optional Emissions</t>
  </si>
  <si>
    <t>Total U.S. Emissions</t>
  </si>
  <si>
    <t>Electricity Transactions
(Electric Utilities Only)</t>
  </si>
  <si>
    <t>Generated Electricity (kWh)</t>
  </si>
  <si>
    <t>Electricity Sold to End Users (kWh)</t>
  </si>
  <si>
    <t>Electricity Sold for Resale (kWh)</t>
  </si>
  <si>
    <t>OPTIONAL SUPPLEMENTAL INFORMATION -
(metric tons/yr.)</t>
  </si>
  <si>
    <t>Electricity Sales
(Non-Utilities with Normalized Targets)</t>
  </si>
  <si>
    <t>Emissions Allocated to Sold Electricity/Steam</t>
  </si>
  <si>
    <t>Total - kWh or BTUs Sold</t>
  </si>
  <si>
    <t>Corporate Inventory - Non-U.S.
[OPTIONAL]</t>
  </si>
  <si>
    <t>Total Non-U.S. Emissions</t>
  </si>
  <si>
    <t>Total Emissions</t>
  </si>
  <si>
    <t>Identify any changes made to the baseline data
(e.g. acquisitions, divestitures):</t>
  </si>
  <si>
    <r>
      <t>EMISSIONS - Annual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-e (metric tons)</t>
    </r>
  </si>
  <si>
    <r>
      <t>Biomass CO</t>
    </r>
    <r>
      <rPr>
        <b/>
        <i/>
        <vertAlign val="subscript"/>
        <sz val="8"/>
        <rFont val="Arial"/>
        <family val="2"/>
      </rPr>
      <t xml:space="preserve">2 </t>
    </r>
    <r>
      <rPr>
        <b/>
        <i/>
        <sz val="8"/>
        <rFont val="Arial"/>
        <family val="2"/>
      </rPr>
      <t>Emissions  - (metric tons/yr.)</t>
    </r>
  </si>
  <si>
    <r>
      <t>Total Stationary - Biomass CO</t>
    </r>
    <r>
      <rPr>
        <b/>
        <vertAlign val="subscript"/>
        <sz val="10"/>
        <rFont val="Arial"/>
        <family val="2"/>
      </rPr>
      <t>2</t>
    </r>
  </si>
  <si>
    <r>
      <t>Total Mobile - Biomass CO</t>
    </r>
    <r>
      <rPr>
        <b/>
        <vertAlign val="subscript"/>
        <sz val="10"/>
        <rFont val="Arial"/>
        <family val="2"/>
      </rPr>
      <t>2</t>
    </r>
  </si>
  <si>
    <r>
      <t>Total -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 (metric tons)</t>
    </r>
  </si>
  <si>
    <r>
      <t>Total -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 per kWh or BTU</t>
    </r>
  </si>
  <si>
    <r>
      <t>REDUCTIONS FROM OFFSETS - 
Annual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-e (metric tons)</t>
    </r>
  </si>
  <si>
    <t>WSCC Southwest</t>
  </si>
  <si>
    <t>WSCC Great Basin</t>
  </si>
  <si>
    <t>WSCC Pacific Northwest</t>
  </si>
  <si>
    <t>WSCC California</t>
  </si>
  <si>
    <t>HICC Hawaii Miscellaneous</t>
  </si>
  <si>
    <t>HICC Oahu</t>
  </si>
  <si>
    <t>ASCC Alaska Miscellaneous</t>
  </si>
  <si>
    <t>ASCC Alaska Grid</t>
  </si>
  <si>
    <t>CO2 Emission Factor (kg CO2/MMBtu)</t>
  </si>
  <si>
    <t>Combined</t>
  </si>
  <si>
    <t>Mobile Sources</t>
  </si>
  <si>
    <t>Total CO2-Equivalent Emissions (mt CO2e)</t>
  </si>
  <si>
    <t xml:space="preserve">CH4 Emissions (kg CH4) </t>
  </si>
  <si>
    <t xml:space="preserve">N2O Emissions (kg N2O) </t>
  </si>
  <si>
    <t>USE THESE VALUES AS INPUTS TO THE "CLIMATE LEADERS ANNUAL INVENTORY SUMMARY FORM"</t>
  </si>
  <si>
    <t>Year</t>
  </si>
  <si>
    <t>Direct Emissions</t>
  </si>
  <si>
    <t>Stationary Combustion</t>
  </si>
  <si>
    <t>Refrigeration / AC Equip. Use</t>
  </si>
  <si>
    <t>Process / Fugitive (specify source):</t>
  </si>
  <si>
    <t>Total Direct Emissions</t>
  </si>
  <si>
    <t>Indirect Emissions</t>
  </si>
  <si>
    <t>Purchased Electricity</t>
  </si>
  <si>
    <t>Purchased Steam</t>
  </si>
  <si>
    <t>Purchased Hot Water</t>
  </si>
  <si>
    <t>Total Indirect Emissions</t>
  </si>
  <si>
    <t>Optional Indirect Emissions</t>
  </si>
  <si>
    <t>Optional (specify source):</t>
  </si>
  <si>
    <t>Total Optional Emissions</t>
  </si>
  <si>
    <t>Offsets (specify source):</t>
  </si>
  <si>
    <t>Total Reductions From Offsets</t>
  </si>
  <si>
    <t>CFC and HCFC Emissions</t>
  </si>
  <si>
    <t>Total - CFC</t>
  </si>
  <si>
    <t>Total - HCFC</t>
  </si>
  <si>
    <t>Identify any changes in methodologies, sources that are different than the last reporting year:</t>
  </si>
  <si>
    <t>Describe any major differences from previous year's inventory:</t>
  </si>
  <si>
    <r>
      <t>lb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/ MWh</t>
    </r>
  </si>
  <si>
    <r>
      <t>lb CH</t>
    </r>
    <r>
      <rPr>
        <b/>
        <vertAlign val="subscript"/>
        <sz val="9"/>
        <rFont val="Arial"/>
        <family val="2"/>
      </rPr>
      <t>4</t>
    </r>
    <r>
      <rPr>
        <b/>
        <sz val="9"/>
        <rFont val="Arial"/>
        <family val="2"/>
      </rPr>
      <t>/ MWh</t>
    </r>
  </si>
  <si>
    <r>
      <t>lb N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O/ MWh</t>
    </r>
  </si>
  <si>
    <t>Off grid</t>
  </si>
  <si>
    <t>US Total</t>
  </si>
  <si>
    <t>eGRID Emission Rates</t>
  </si>
  <si>
    <t>lb CO2/
MWh</t>
  </si>
  <si>
    <t>lb CH4/
MWh</t>
  </si>
  <si>
    <t>lb N2O/
MWh</t>
  </si>
  <si>
    <t>Emissions Source</t>
  </si>
  <si>
    <t>Electricity</t>
  </si>
  <si>
    <t>Stationary combustion</t>
  </si>
  <si>
    <t>Mobile sources</t>
  </si>
  <si>
    <t>CH4</t>
  </si>
  <si>
    <t>N2O</t>
  </si>
  <si>
    <t>CO2 Emission Factors</t>
  </si>
  <si>
    <t>Gasoline</t>
  </si>
  <si>
    <t>kg CO2/gallon</t>
  </si>
  <si>
    <t>Global warming potential</t>
  </si>
  <si>
    <t>Diesel fuel</t>
  </si>
  <si>
    <t>Com-bined MPG</t>
  </si>
  <si>
    <t xml:space="preserve">CO2 Emissions (mt CO2) </t>
  </si>
  <si>
    <t xml:space="preserve">CH4 Emission Factor 
(g/mile) </t>
  </si>
  <si>
    <t xml:space="preserve">N2O Emission Factor 
(g/mile) </t>
  </si>
  <si>
    <t>tCO2/MWh</t>
  </si>
  <si>
    <t>lb CO2/ MWh</t>
  </si>
  <si>
    <t>lb CH4/ MWh</t>
  </si>
  <si>
    <t>lb N2O/ MWh</t>
  </si>
  <si>
    <t>Puerto Rico</t>
  </si>
  <si>
    <t>CH4 Global Warming Potential</t>
  </si>
  <si>
    <t>N2O Global Warming Potential</t>
  </si>
  <si>
    <t>Vehicle Model</t>
  </si>
  <si>
    <t>Mileage in Base Year</t>
  </si>
  <si>
    <t>Fuel Consumed (gallons)</t>
  </si>
  <si>
    <t>Distillate Fuel Oil (#1, 2, 4)</t>
  </si>
  <si>
    <t>State</t>
  </si>
  <si>
    <t>IL</t>
  </si>
  <si>
    <t>CA</t>
  </si>
  <si>
    <t>2000 Base Year</t>
  </si>
  <si>
    <t>2000 base year</t>
  </si>
  <si>
    <t>NJ</t>
  </si>
  <si>
    <t>Gasoline subtotal</t>
  </si>
  <si>
    <t>Purchased and Consumed Hot Water</t>
  </si>
  <si>
    <t>REQUIRED SUPPLEMENTAL INFORMATION</t>
  </si>
  <si>
    <t>Corporate Inventory - Total
(U.S. + Non-U.S.)</t>
  </si>
  <si>
    <t>External Offset Projects</t>
  </si>
  <si>
    <t>CH4 Emission Factor (g/MMBtu)</t>
  </si>
  <si>
    <t>N2O Emission Factor (g/MMBtu)</t>
  </si>
  <si>
    <t>Shaklee Total Emissions Summary</t>
  </si>
  <si>
    <t>Shaklee Electricity Emissions</t>
  </si>
  <si>
    <t>Shaklee Stationary Combustion Emissions</t>
  </si>
  <si>
    <t>Shaklee Mobile Sources Emissions Calculations</t>
  </si>
  <si>
    <t xml:space="preserve">Pleasanton Corporate Headquarters </t>
  </si>
  <si>
    <t>Hayward Research Facility</t>
  </si>
  <si>
    <t>La Palma Distribution Center, LA</t>
  </si>
  <si>
    <t xml:space="preserve">Bedford Distribution Center, Chicago </t>
  </si>
  <si>
    <t>Dayton Distribution Center</t>
  </si>
  <si>
    <t>Fuel Use (therms)</t>
  </si>
  <si>
    <t>Norman, OK manufacturing facility was operating in 2000.  However, in the 2004 sale of the company, this facility was</t>
  </si>
  <si>
    <t>not sold to the current owners.  Therefore, it is treated as a structural change, and the Norman emissions are not included in</t>
  </si>
  <si>
    <t>the base year.</t>
  </si>
  <si>
    <t>Diesel Fuel</t>
  </si>
  <si>
    <t>Mail van</t>
  </si>
  <si>
    <t>Cargo van</t>
  </si>
  <si>
    <t>No refrigerant emissions.  Scott Miller reported that all facilities use CFCs or HCFCs.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</si>
</sst>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[Blue]General"/>
    <numFmt numFmtId="176" formatCode="#,##0.00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0000000000000%"/>
    <numFmt numFmtId="181" formatCode="0.00000000000000000%"/>
    <numFmt numFmtId="182" formatCode="0.0000000000000000%"/>
    <numFmt numFmtId="183" formatCode="0.000000000000000%"/>
    <numFmt numFmtId="184" formatCode="0.00000000000000%"/>
    <numFmt numFmtId="185" formatCode="0.0000000000000%"/>
    <numFmt numFmtId="186" formatCode="0.000%"/>
    <numFmt numFmtId="187" formatCode="0.0000%"/>
    <numFmt numFmtId="188" formatCode="0_)"/>
    <numFmt numFmtId="189" formatCode="0.0_)"/>
    <numFmt numFmtId="190" formatCode="0.00_)"/>
    <numFmt numFmtId="191" formatCode="0.000_)"/>
    <numFmt numFmtId="192" formatCode="#,##0.000"/>
    <numFmt numFmtId="193" formatCode="#,##0.0000"/>
    <numFmt numFmtId="194" formatCode="#,##0.00000"/>
    <numFmt numFmtId="195" formatCode="#,##0.000000"/>
    <numFmt numFmtId="196" formatCode="&quot;$&quot;#,##0"/>
    <numFmt numFmtId="197" formatCode="&quot;$&quot;#,##0.0"/>
    <numFmt numFmtId="198" formatCode="&quot;$&quot;#,##0.00"/>
    <numFmt numFmtId="199" formatCode="0.0E+00"/>
  </numFmts>
  <fonts count="2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Arial Narrow"/>
      <family val="0"/>
    </font>
    <font>
      <b/>
      <vertAlign val="subscript"/>
      <sz val="10"/>
      <name val="Arial"/>
      <family val="2"/>
    </font>
    <font>
      <b/>
      <vertAlign val="subscript"/>
      <sz val="9"/>
      <name val="Arial"/>
      <family val="2"/>
    </font>
    <font>
      <sz val="10"/>
      <name val="Arial MT"/>
      <family val="0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vertAlign val="subscript"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 wrapText="1"/>
    </xf>
    <xf numFmtId="2" fontId="4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3" fillId="2" borderId="0" xfId="0" applyFont="1" applyFill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5" xfId="21" applyNumberFormat="1" applyFont="1" applyFill="1" applyBorder="1" applyAlignment="1">
      <alignment/>
      <protection/>
    </xf>
    <xf numFmtId="3" fontId="4" fillId="0" borderId="0" xfId="21" applyNumberFormat="1" applyFont="1" applyFill="1" applyBorder="1" applyAlignment="1">
      <alignment/>
      <protection/>
    </xf>
    <xf numFmtId="3" fontId="4" fillId="0" borderId="0" xfId="21" applyNumberFormat="1" applyFont="1" applyFill="1" applyBorder="1" applyAlignment="1" quotePrefix="1">
      <alignment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168" fontId="4" fillId="2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168" fontId="4" fillId="3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4" fillId="4" borderId="12" xfId="0" applyFont="1" applyFill="1" applyBorder="1" applyAlignment="1" applyProtection="1">
      <alignment horizontal="center" vertical="top"/>
      <protection/>
    </xf>
    <xf numFmtId="11" fontId="1" fillId="0" borderId="13" xfId="22" applyNumberFormat="1" applyFont="1" applyFill="1" applyBorder="1" applyAlignment="1" applyProtection="1">
      <alignment horizontal="centerContinuous" vertical="top" wrapText="1"/>
      <protection/>
    </xf>
    <xf numFmtId="11" fontId="1" fillId="0" borderId="14" xfId="22" applyNumberFormat="1" applyFont="1" applyFill="1" applyBorder="1" applyAlignment="1" applyProtection="1">
      <alignment horizontal="centerContinuous" vertical="top" wrapText="1"/>
      <protection/>
    </xf>
    <xf numFmtId="0" fontId="1" fillId="0" borderId="12" xfId="0" applyFont="1" applyFill="1" applyBorder="1" applyAlignment="1" applyProtection="1">
      <alignment horizontal="right" vertical="center" wrapText="1"/>
      <protection/>
    </xf>
    <xf numFmtId="1" fontId="0" fillId="4" borderId="12" xfId="22" applyNumberFormat="1" applyFont="1" applyFill="1" applyBorder="1" applyAlignment="1" applyProtection="1">
      <alignment horizontal="center" vertical="top"/>
      <protection locked="0"/>
    </xf>
    <xf numFmtId="0" fontId="15" fillId="0" borderId="12" xfId="0" applyFont="1" applyFill="1" applyBorder="1" applyAlignment="1" applyProtection="1">
      <alignment horizontal="center"/>
      <protection/>
    </xf>
    <xf numFmtId="3" fontId="0" fillId="5" borderId="9" xfId="0" applyNumberFormat="1" applyFont="1" applyFill="1" applyBorder="1" applyAlignment="1" applyProtection="1">
      <alignment horizontal="center" vertical="top"/>
      <protection/>
    </xf>
    <xf numFmtId="0" fontId="18" fillId="0" borderId="12" xfId="0" applyFont="1" applyFill="1" applyBorder="1" applyAlignment="1" applyProtection="1">
      <alignment/>
      <protection/>
    </xf>
    <xf numFmtId="3" fontId="0" fillId="5" borderId="10" xfId="0" applyNumberFormat="1" applyFont="1" applyFill="1" applyBorder="1" applyAlignment="1" applyProtection="1">
      <alignment horizontal="center" vertical="top"/>
      <protection/>
    </xf>
    <xf numFmtId="11" fontId="0" fillId="0" borderId="12" xfId="22" applyNumberFormat="1" applyFont="1" applyFill="1" applyBorder="1" applyAlignment="1" applyProtection="1">
      <alignment horizontal="right" vertical="top"/>
      <protection/>
    </xf>
    <xf numFmtId="3" fontId="0" fillId="4" borderId="12" xfId="22" applyNumberFormat="1" applyFont="1" applyFill="1" applyBorder="1" applyAlignment="1" applyProtection="1">
      <alignment horizontal="center" vertical="top"/>
      <protection locked="0"/>
    </xf>
    <xf numFmtId="3" fontId="0" fillId="5" borderId="11" xfId="22" applyNumberFormat="1" applyFont="1" applyFill="1" applyBorder="1" applyAlignment="1" applyProtection="1">
      <alignment horizontal="center" vertical="top"/>
      <protection/>
    </xf>
    <xf numFmtId="3" fontId="0" fillId="4" borderId="15" xfId="22" applyNumberFormat="1" applyFont="1" applyFill="1" applyBorder="1" applyAlignment="1" applyProtection="1">
      <alignment horizontal="center" vertical="top"/>
      <protection locked="0"/>
    </xf>
    <xf numFmtId="11" fontId="1" fillId="0" borderId="12" xfId="22" applyNumberFormat="1" applyFont="1" applyFill="1" applyBorder="1" applyAlignment="1" applyProtection="1">
      <alignment horizontal="right" vertical="top"/>
      <protection/>
    </xf>
    <xf numFmtId="3" fontId="0" fillId="6" borderId="14" xfId="22" applyNumberFormat="1" applyFont="1" applyFill="1" applyBorder="1" applyAlignment="1" applyProtection="1">
      <alignment horizontal="center" vertical="top"/>
      <protection/>
    </xf>
    <xf numFmtId="3" fontId="0" fillId="5" borderId="9" xfId="22" applyNumberFormat="1" applyFont="1" applyFill="1" applyBorder="1" applyAlignment="1" applyProtection="1">
      <alignment horizontal="center" vertical="top"/>
      <protection/>
    </xf>
    <xf numFmtId="3" fontId="0" fillId="5" borderId="10" xfId="22" applyNumberFormat="1" applyFont="1" applyFill="1" applyBorder="1" applyAlignment="1" applyProtection="1">
      <alignment horizontal="center" vertical="top"/>
      <protection/>
    </xf>
    <xf numFmtId="3" fontId="0" fillId="7" borderId="12" xfId="22" applyNumberFormat="1" applyFont="1" applyFill="1" applyBorder="1" applyAlignment="1" applyProtection="1">
      <alignment horizontal="center" vertical="top"/>
      <protection locked="0"/>
    </xf>
    <xf numFmtId="3" fontId="0" fillId="7" borderId="15" xfId="22" applyNumberFormat="1" applyFont="1" applyFill="1" applyBorder="1" applyAlignment="1" applyProtection="1">
      <alignment horizontal="center" vertical="top"/>
      <protection locked="0"/>
    </xf>
    <xf numFmtId="3" fontId="1" fillId="6" borderId="12" xfId="22" applyNumberFormat="1" applyFont="1" applyFill="1" applyBorder="1" applyAlignment="1" applyProtection="1">
      <alignment horizontal="center" vertical="top"/>
      <protection/>
    </xf>
    <xf numFmtId="0" fontId="0" fillId="0" borderId="2" xfId="22" applyFont="1" applyFill="1" applyBorder="1" applyAlignment="1" applyProtection="1">
      <alignment vertical="top" wrapText="1"/>
      <protection/>
    </xf>
    <xf numFmtId="3" fontId="0" fillId="0" borderId="2" xfId="22" applyNumberFormat="1" applyFont="1" applyFill="1" applyBorder="1" applyAlignment="1" applyProtection="1">
      <alignment horizontal="center" vertical="top"/>
      <protection/>
    </xf>
    <xf numFmtId="0" fontId="15" fillId="0" borderId="12" xfId="22" applyFont="1" applyFill="1" applyBorder="1" applyAlignment="1" applyProtection="1">
      <alignment horizontal="center" vertical="top" wrapText="1"/>
      <protection/>
    </xf>
    <xf numFmtId="0" fontId="18" fillId="0" borderId="12" xfId="22" applyFont="1" applyFill="1" applyBorder="1" applyAlignment="1" applyProtection="1">
      <alignment vertical="top" wrapText="1"/>
      <protection/>
    </xf>
    <xf numFmtId="3" fontId="0" fillId="4" borderId="14" xfId="22" applyNumberFormat="1" applyFont="1" applyFill="1" applyBorder="1" applyAlignment="1" applyProtection="1">
      <alignment horizontal="center" vertical="top"/>
      <protection locked="0"/>
    </xf>
    <xf numFmtId="11" fontId="0" fillId="0" borderId="2" xfId="22" applyNumberFormat="1" applyFont="1" applyFill="1" applyBorder="1" applyAlignment="1" applyProtection="1">
      <alignment horizontal="right" vertical="top"/>
      <protection/>
    </xf>
    <xf numFmtId="11" fontId="1" fillId="0" borderId="12" xfId="22" applyNumberFormat="1" applyFont="1" applyFill="1" applyBorder="1" applyAlignment="1" applyProtection="1">
      <alignment horizontal="right" vertical="top" wrapText="1"/>
      <protection/>
    </xf>
    <xf numFmtId="0" fontId="18" fillId="0" borderId="12" xfId="22" applyFont="1" applyFill="1" applyBorder="1" applyAlignment="1" applyProtection="1">
      <alignment horizontal="left" vertical="top" wrapText="1"/>
      <protection/>
    </xf>
    <xf numFmtId="11" fontId="4" fillId="0" borderId="12" xfId="22" applyNumberFormat="1" applyFont="1" applyFill="1" applyBorder="1" applyAlignment="1" applyProtection="1">
      <alignment horizontal="right" vertical="top"/>
      <protection/>
    </xf>
    <xf numFmtId="4" fontId="0" fillId="6" borderId="12" xfId="22" applyNumberFormat="1" applyFont="1" applyFill="1" applyBorder="1" applyAlignment="1" applyProtection="1">
      <alignment horizontal="center" vertical="top"/>
      <protection/>
    </xf>
    <xf numFmtId="3" fontId="0" fillId="0" borderId="0" xfId="0" applyNumberFormat="1" applyFont="1" applyFill="1" applyBorder="1" applyAlignment="1" applyProtection="1">
      <alignment horizontal="center" vertical="top"/>
      <protection/>
    </xf>
    <xf numFmtId="1" fontId="0" fillId="0" borderId="12" xfId="22" applyNumberFormat="1" applyFont="1" applyFill="1" applyBorder="1" applyAlignment="1" applyProtection="1">
      <alignment horizontal="center" vertical="top"/>
      <protection/>
    </xf>
    <xf numFmtId="3" fontId="0" fillId="5" borderId="8" xfId="0" applyNumberFormat="1" applyFont="1" applyFill="1" applyBorder="1" applyAlignment="1" applyProtection="1">
      <alignment horizontal="center" vertical="top"/>
      <protection/>
    </xf>
    <xf numFmtId="0" fontId="14" fillId="0" borderId="2" xfId="22" applyFont="1" applyFill="1" applyBorder="1" applyAlignment="1" applyProtection="1">
      <alignment vertical="top" wrapText="1"/>
      <protection/>
    </xf>
    <xf numFmtId="3" fontId="0" fillId="7" borderId="14" xfId="22" applyNumberFormat="1" applyFont="1" applyFill="1" applyBorder="1" applyAlignment="1" applyProtection="1">
      <alignment horizontal="center" vertical="top"/>
      <protection locked="0"/>
    </xf>
    <xf numFmtId="3" fontId="0" fillId="6" borderId="12" xfId="22" applyNumberFormat="1" applyFont="1" applyFill="1" applyBorder="1" applyAlignment="1" applyProtection="1">
      <alignment horizontal="center" vertical="top"/>
      <protection/>
    </xf>
    <xf numFmtId="3" fontId="0" fillId="6" borderId="15" xfId="22" applyNumberFormat="1" applyFont="1" applyFill="1" applyBorder="1" applyAlignment="1" applyProtection="1">
      <alignment horizontal="center" vertical="top"/>
      <protection/>
    </xf>
    <xf numFmtId="11" fontId="1" fillId="0" borderId="2" xfId="22" applyNumberFormat="1" applyFont="1" applyFill="1" applyBorder="1" applyAlignment="1" applyProtection="1">
      <alignment horizontal="right" vertical="top"/>
      <protection/>
    </xf>
    <xf numFmtId="0" fontId="15" fillId="0" borderId="12" xfId="0" applyFont="1" applyFill="1" applyBorder="1" applyAlignment="1" applyProtection="1">
      <alignment horizontal="center" wrapText="1"/>
      <protection/>
    </xf>
    <xf numFmtId="3" fontId="1" fillId="6" borderId="14" xfId="22" applyNumberFormat="1" applyFont="1" applyFill="1" applyBorder="1" applyAlignment="1" applyProtection="1">
      <alignment horizontal="center" vertical="top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22" applyFont="1" applyFill="1" applyBorder="1" applyAlignment="1" applyProtection="1">
      <alignment vertical="top" wrapText="1"/>
      <protection/>
    </xf>
    <xf numFmtId="0" fontId="15" fillId="0" borderId="11" xfId="0" applyFont="1" applyFill="1" applyBorder="1" applyAlignment="1" applyProtection="1">
      <alignment horizontal="right" vertical="top" wrapText="1"/>
      <protection/>
    </xf>
    <xf numFmtId="0" fontId="14" fillId="7" borderId="12" xfId="0" applyFont="1" applyFill="1" applyBorder="1" applyAlignment="1" applyProtection="1">
      <alignment horizontal="center" vertical="top"/>
      <protection/>
    </xf>
    <xf numFmtId="0" fontId="14" fillId="6" borderId="12" xfId="0" applyFont="1" applyFill="1" applyBorder="1" applyAlignment="1" applyProtection="1">
      <alignment horizontal="center" vertical="top"/>
      <protection/>
    </xf>
    <xf numFmtId="0" fontId="3" fillId="0" borderId="5" xfId="0" applyFont="1" applyFill="1" applyBorder="1" applyAlignment="1">
      <alignment/>
    </xf>
    <xf numFmtId="171" fontId="4" fillId="0" borderId="0" xfId="0" applyNumberFormat="1" applyFont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/>
    </xf>
    <xf numFmtId="170" fontId="4" fillId="0" borderId="0" xfId="0" applyNumberFormat="1" applyFont="1" applyAlignment="1">
      <alignment horizontal="center"/>
    </xf>
    <xf numFmtId="3" fontId="3" fillId="0" borderId="1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192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3" fontId="3" fillId="0" borderId="18" xfId="0" applyNumberFormat="1" applyFont="1" applyFill="1" applyBorder="1" applyAlignment="1">
      <alignment/>
    </xf>
    <xf numFmtId="4" fontId="4" fillId="0" borderId="18" xfId="0" applyNumberFormat="1" applyFont="1" applyBorder="1" applyAlignment="1">
      <alignment/>
    </xf>
    <xf numFmtId="168" fontId="3" fillId="0" borderId="18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4" borderId="12" xfId="22" applyNumberFormat="1" applyFont="1" applyFill="1" applyBorder="1" applyAlignment="1" applyProtection="1">
      <alignment horizontal="right" vertical="top"/>
      <protection locked="0"/>
    </xf>
    <xf numFmtId="0" fontId="0" fillId="7" borderId="12" xfId="22" applyNumberFormat="1" applyFont="1" applyFill="1" applyBorder="1" applyAlignment="1" applyProtection="1">
      <alignment horizontal="right" vertical="top"/>
      <protection locked="0"/>
    </xf>
    <xf numFmtId="0" fontId="0" fillId="0" borderId="12" xfId="22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8" fontId="4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/>
    </xf>
    <xf numFmtId="9" fontId="4" fillId="0" borderId="14" xfId="23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/>
    </xf>
    <xf numFmtId="3" fontId="4" fillId="0" borderId="0" xfId="0" applyNumberFormat="1" applyFont="1" applyFill="1" applyAlignment="1">
      <alignment/>
    </xf>
    <xf numFmtId="171" fontId="4" fillId="0" borderId="0" xfId="0" applyNumberFormat="1" applyFont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71" fontId="4" fillId="0" borderId="5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 horizontal="right"/>
    </xf>
    <xf numFmtId="9" fontId="4" fillId="0" borderId="0" xfId="23" applyNumberFormat="1" applyFont="1" applyFill="1" applyBorder="1" applyAlignment="1">
      <alignment/>
    </xf>
    <xf numFmtId="172" fontId="4" fillId="0" borderId="0" xfId="23" applyNumberFormat="1" applyFont="1" applyFill="1" applyBorder="1" applyAlignment="1">
      <alignment/>
    </xf>
    <xf numFmtId="3" fontId="3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wrapText="1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L_Store_List (08.01.03)" xfId="21"/>
    <cellStyle name="Normal_TBL3-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152400</xdr:rowOff>
    </xdr:from>
    <xdr:to>
      <xdr:col>14</xdr:col>
      <xdr:colOff>304800</xdr:colOff>
      <xdr:row>27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52400"/>
          <a:ext cx="6172200" cy="471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workbookViewId="0" topLeftCell="A1">
      <selection activeCell="B12" sqref="B12"/>
    </sheetView>
  </sheetViews>
  <sheetFormatPr defaultColWidth="9.140625" defaultRowHeight="12.75"/>
  <cols>
    <col min="1" max="1" width="36.8515625" style="0" bestFit="1" customWidth="1"/>
    <col min="2" max="2" width="13.57421875" style="0" customWidth="1"/>
  </cols>
  <sheetData>
    <row r="1" spans="1:2" ht="12.75">
      <c r="A1" s="51"/>
      <c r="B1" s="51"/>
    </row>
    <row r="2" spans="1:2" s="33" customFormat="1" ht="15.75">
      <c r="A2" s="45" t="s">
        <v>75</v>
      </c>
      <c r="B2" s="46"/>
    </row>
    <row r="3" spans="1:2" ht="12.75">
      <c r="A3" s="51"/>
      <c r="B3" s="51"/>
    </row>
    <row r="4" spans="1:5" ht="12.75" customHeight="1">
      <c r="A4" s="147" t="s">
        <v>36</v>
      </c>
      <c r="B4" s="54"/>
      <c r="D4" s="52" t="s">
        <v>33</v>
      </c>
      <c r="E4" s="53"/>
    </row>
    <row r="5" spans="1:5" ht="12.75">
      <c r="A5" s="148"/>
      <c r="B5" s="55"/>
      <c r="D5" s="52" t="s">
        <v>34</v>
      </c>
      <c r="E5" s="96"/>
    </row>
    <row r="6" spans="1:5" ht="12.75" customHeight="1">
      <c r="A6" s="56" t="s">
        <v>76</v>
      </c>
      <c r="B6" s="57" t="s">
        <v>136</v>
      </c>
      <c r="D6" s="52" t="s">
        <v>35</v>
      </c>
      <c r="E6" s="97"/>
    </row>
    <row r="7" spans="1:2" ht="12.75">
      <c r="A7" s="58" t="s">
        <v>54</v>
      </c>
      <c r="B7" s="59"/>
    </row>
    <row r="8" spans="1:2" ht="12.75">
      <c r="A8" s="60" t="s">
        <v>77</v>
      </c>
      <c r="B8" s="61"/>
    </row>
    <row r="9" spans="1:2" ht="12.75">
      <c r="A9" s="62" t="s">
        <v>78</v>
      </c>
      <c r="B9" s="63">
        <f>'Grand Totals'!C6</f>
        <v>972.8401132000001</v>
      </c>
    </row>
    <row r="10" spans="1:2" ht="12.75">
      <c r="A10" s="62" t="s">
        <v>71</v>
      </c>
      <c r="B10" s="63">
        <f>'Grand Totals'!C7</f>
        <v>7.566783010799999</v>
      </c>
    </row>
    <row r="11" spans="1:2" ht="12.75">
      <c r="A11" s="62" t="s">
        <v>79</v>
      </c>
      <c r="B11" s="63">
        <v>0</v>
      </c>
    </row>
    <row r="12" spans="1:2" ht="12.75">
      <c r="A12" s="62" t="s">
        <v>80</v>
      </c>
      <c r="B12" s="64"/>
    </row>
    <row r="13" spans="1:2" ht="12.75">
      <c r="A13" s="115"/>
      <c r="B13" s="63"/>
    </row>
    <row r="14" spans="1:2" ht="12.75">
      <c r="A14" s="115"/>
      <c r="B14" s="63"/>
    </row>
    <row r="15" spans="1:2" ht="13.5" thickBot="1">
      <c r="A15" s="115"/>
      <c r="B15" s="65"/>
    </row>
    <row r="16" spans="1:2" ht="13.5" thickTop="1">
      <c r="A16" s="66" t="s">
        <v>81</v>
      </c>
      <c r="B16" s="67">
        <f>SUM(B9:B15)</f>
        <v>980.4068962108001</v>
      </c>
    </row>
    <row r="17" spans="1:2" ht="12.75">
      <c r="A17" s="60" t="s">
        <v>82</v>
      </c>
      <c r="B17" s="64"/>
    </row>
    <row r="18" spans="1:2" ht="12.75">
      <c r="A18" s="62" t="s">
        <v>37</v>
      </c>
      <c r="B18" s="63">
        <f>'Grand Totals'!C5</f>
        <v>2837.062487344081</v>
      </c>
    </row>
    <row r="19" spans="1:2" ht="12.75">
      <c r="A19" s="62" t="s">
        <v>38</v>
      </c>
      <c r="B19" s="63"/>
    </row>
    <row r="20" spans="1:2" ht="13.5" thickBot="1">
      <c r="A20" s="62" t="s">
        <v>139</v>
      </c>
      <c r="B20" s="65"/>
    </row>
    <row r="21" spans="1:2" ht="13.5" thickTop="1">
      <c r="A21" s="66" t="s">
        <v>86</v>
      </c>
      <c r="B21" s="67">
        <f>SUM(B18:B20)</f>
        <v>2837.062487344081</v>
      </c>
    </row>
    <row r="22" spans="1:2" ht="12.75">
      <c r="A22" s="60" t="s">
        <v>39</v>
      </c>
      <c r="B22" s="68"/>
    </row>
    <row r="23" spans="1:2" ht="12.75">
      <c r="A23" s="62" t="s">
        <v>88</v>
      </c>
      <c r="B23" s="69"/>
    </row>
    <row r="24" spans="1:2" ht="12.75">
      <c r="A24" s="116"/>
      <c r="B24" s="70"/>
    </row>
    <row r="25" spans="1:2" ht="12.75">
      <c r="A25" s="116"/>
      <c r="B25" s="70"/>
    </row>
    <row r="26" spans="1:2" ht="13.5" thickBot="1">
      <c r="A26" s="116"/>
      <c r="B26" s="71"/>
    </row>
    <row r="27" spans="1:2" ht="13.5" thickTop="1">
      <c r="A27" s="66" t="s">
        <v>89</v>
      </c>
      <c r="B27" s="67">
        <f>SUM(B24:B26)</f>
        <v>0</v>
      </c>
    </row>
    <row r="28" spans="1:2" ht="12.75">
      <c r="A28" s="60" t="s">
        <v>40</v>
      </c>
      <c r="B28" s="64"/>
    </row>
    <row r="29" spans="1:2" ht="12.75">
      <c r="A29" s="66" t="s">
        <v>41</v>
      </c>
      <c r="B29" s="72">
        <f>B16+B21+B27</f>
        <v>3817.4693835548815</v>
      </c>
    </row>
    <row r="30" spans="1:2" ht="12.75">
      <c r="A30" s="73"/>
      <c r="B30" s="74"/>
    </row>
    <row r="31" spans="1:2" ht="12.75" customHeight="1">
      <c r="A31" s="75" t="s">
        <v>140</v>
      </c>
      <c r="B31" s="68"/>
    </row>
    <row r="32" spans="1:2" ht="12.75">
      <c r="A32" s="76" t="s">
        <v>55</v>
      </c>
      <c r="B32" s="69"/>
    </row>
    <row r="33" spans="1:2" ht="14.25">
      <c r="A33" s="66" t="s">
        <v>56</v>
      </c>
      <c r="B33" s="63"/>
    </row>
    <row r="34" spans="1:2" ht="14.25">
      <c r="A34" s="66" t="s">
        <v>57</v>
      </c>
      <c r="B34" s="63"/>
    </row>
    <row r="35" spans="1:2" ht="21">
      <c r="A35" s="76" t="s">
        <v>42</v>
      </c>
      <c r="B35" s="64"/>
    </row>
    <row r="36" spans="1:2" ht="12.75">
      <c r="A36" s="62" t="s">
        <v>43</v>
      </c>
      <c r="B36" s="63"/>
    </row>
    <row r="37" spans="1:2" ht="12.75">
      <c r="A37" s="62" t="s">
        <v>6</v>
      </c>
      <c r="B37" s="63"/>
    </row>
    <row r="38" spans="1:2" ht="12.75">
      <c r="A38" s="62" t="s">
        <v>44</v>
      </c>
      <c r="B38" s="63"/>
    </row>
    <row r="39" spans="1:2" ht="12.75">
      <c r="A39" s="62" t="s">
        <v>45</v>
      </c>
      <c r="B39" s="77"/>
    </row>
    <row r="40" spans="1:2" ht="12.75">
      <c r="A40" s="78"/>
      <c r="B40" s="74"/>
    </row>
    <row r="41" spans="1:2" ht="22.5">
      <c r="A41" s="75" t="s">
        <v>46</v>
      </c>
      <c r="B41" s="68"/>
    </row>
    <row r="42" spans="1:2" ht="12.75" customHeight="1">
      <c r="A42" s="76" t="s">
        <v>92</v>
      </c>
      <c r="B42" s="69"/>
    </row>
    <row r="43" spans="1:2" ht="12.75">
      <c r="A43" s="79" t="s">
        <v>93</v>
      </c>
      <c r="B43" s="70"/>
    </row>
    <row r="44" spans="1:2" ht="12.75">
      <c r="A44" s="79" t="s">
        <v>94</v>
      </c>
      <c r="B44" s="70"/>
    </row>
    <row r="45" spans="1:2" ht="21">
      <c r="A45" s="80" t="s">
        <v>47</v>
      </c>
      <c r="B45" s="68"/>
    </row>
    <row r="46" spans="1:2" ht="12.75">
      <c r="A46" s="81" t="s">
        <v>48</v>
      </c>
      <c r="B46" s="69"/>
    </row>
    <row r="47" spans="1:2" ht="14.25">
      <c r="A47" s="79" t="s">
        <v>58</v>
      </c>
      <c r="B47" s="70"/>
    </row>
    <row r="48" spans="1:2" ht="12.75">
      <c r="A48" s="79" t="s">
        <v>49</v>
      </c>
      <c r="B48" s="70"/>
    </row>
    <row r="49" spans="1:2" ht="14.25">
      <c r="A49" s="79" t="s">
        <v>59</v>
      </c>
      <c r="B49" s="82" t="e">
        <f>B47/B48</f>
        <v>#DIV/0!</v>
      </c>
    </row>
    <row r="50" spans="1:2" ht="12.75">
      <c r="A50" s="51"/>
      <c r="B50" s="83"/>
    </row>
    <row r="51" spans="1:2" ht="15.75" customHeight="1">
      <c r="A51" s="147" t="s">
        <v>50</v>
      </c>
      <c r="B51" s="54"/>
    </row>
    <row r="52" spans="1:2" ht="15.75" customHeight="1">
      <c r="A52" s="148"/>
      <c r="B52" s="55"/>
    </row>
    <row r="53" spans="1:2" ht="12.75" customHeight="1">
      <c r="A53" s="56" t="s">
        <v>76</v>
      </c>
      <c r="B53" s="84" t="str">
        <f>B6</f>
        <v>2000 base year</v>
      </c>
    </row>
    <row r="54" spans="1:2" ht="12.75">
      <c r="A54" s="58" t="s">
        <v>54</v>
      </c>
      <c r="B54" s="85"/>
    </row>
    <row r="55" spans="1:2" ht="12.75">
      <c r="A55" s="60" t="s">
        <v>77</v>
      </c>
      <c r="B55" s="61"/>
    </row>
    <row r="56" spans="1:2" ht="12.75">
      <c r="A56" s="62" t="s">
        <v>78</v>
      </c>
      <c r="B56" s="70"/>
    </row>
    <row r="57" spans="1:2" ht="12.75">
      <c r="A57" s="62" t="s">
        <v>71</v>
      </c>
      <c r="B57" s="70"/>
    </row>
    <row r="58" spans="1:2" ht="12.75">
      <c r="A58" s="62" t="s">
        <v>79</v>
      </c>
      <c r="B58" s="70"/>
    </row>
    <row r="59" spans="1:2" ht="12.75">
      <c r="A59" s="62" t="s">
        <v>80</v>
      </c>
      <c r="B59" s="64"/>
    </row>
    <row r="60" spans="1:2" ht="12.75">
      <c r="A60" s="117">
        <f>IF($A$13&gt;0,$A$13,"")</f>
      </c>
      <c r="B60" s="70"/>
    </row>
    <row r="61" spans="1:2" ht="12.75">
      <c r="A61" s="117">
        <f>IF($A$14&gt;0,$A$14,"")</f>
      </c>
      <c r="B61" s="70"/>
    </row>
    <row r="62" spans="1:2" ht="13.5" thickBot="1">
      <c r="A62" s="117">
        <f>IF($A$15&gt;0,$A$15,"")</f>
      </c>
      <c r="B62" s="71"/>
    </row>
    <row r="63" spans="1:2" ht="13.5" thickTop="1">
      <c r="A63" s="66" t="s">
        <v>81</v>
      </c>
      <c r="B63" s="67">
        <f>SUM(B56:B58,B60:B62)</f>
        <v>0</v>
      </c>
    </row>
    <row r="64" spans="1:2" ht="12.75">
      <c r="A64" s="60" t="s">
        <v>82</v>
      </c>
      <c r="B64" s="64"/>
    </row>
    <row r="65" spans="1:2" ht="12.75">
      <c r="A65" s="62" t="s">
        <v>83</v>
      </c>
      <c r="B65" s="70"/>
    </row>
    <row r="66" spans="1:2" ht="12.75">
      <c r="A66" s="62" t="s">
        <v>84</v>
      </c>
      <c r="B66" s="70"/>
    </row>
    <row r="67" spans="1:2" ht="13.5" thickBot="1">
      <c r="A67" s="62" t="s">
        <v>85</v>
      </c>
      <c r="B67" s="71"/>
    </row>
    <row r="68" spans="1:2" ht="13.5" thickTop="1">
      <c r="A68" s="66" t="s">
        <v>86</v>
      </c>
      <c r="B68" s="67">
        <f>SUM(B65:B67)</f>
        <v>0</v>
      </c>
    </row>
    <row r="69" spans="1:2" ht="12.75">
      <c r="A69" s="60" t="s">
        <v>87</v>
      </c>
      <c r="B69" s="68"/>
    </row>
    <row r="70" spans="1:2" ht="12.75">
      <c r="A70" s="62" t="s">
        <v>88</v>
      </c>
      <c r="B70" s="69"/>
    </row>
    <row r="71" spans="1:2" ht="12.75">
      <c r="A71" s="117">
        <f>IF($A$24&gt;0,$A$24,"")</f>
      </c>
      <c r="B71" s="70"/>
    </row>
    <row r="72" spans="1:2" ht="12.75">
      <c r="A72" s="117">
        <f>IF($A$25&gt;0,$A$25,"")</f>
      </c>
      <c r="B72" s="70"/>
    </row>
    <row r="73" spans="1:2" ht="13.5" thickBot="1">
      <c r="A73" s="117">
        <f>IF($A$26&gt;0,$A$26,"")</f>
      </c>
      <c r="B73" s="71"/>
    </row>
    <row r="74" spans="1:2" ht="13.5" thickTop="1">
      <c r="A74" s="66" t="s">
        <v>89</v>
      </c>
      <c r="B74" s="67">
        <f>SUM(B71:B73)</f>
        <v>0</v>
      </c>
    </row>
    <row r="75" spans="1:2" ht="12.75">
      <c r="A75" s="60" t="s">
        <v>40</v>
      </c>
      <c r="B75" s="64"/>
    </row>
    <row r="76" spans="1:2" ht="12.75">
      <c r="A76" s="66" t="s">
        <v>51</v>
      </c>
      <c r="B76" s="72">
        <f>B63+B68+B74</f>
        <v>0</v>
      </c>
    </row>
    <row r="77" spans="1:2" ht="12.75" customHeight="1">
      <c r="A77" s="86"/>
      <c r="B77" s="74"/>
    </row>
    <row r="78" spans="1:2" ht="12.75" customHeight="1">
      <c r="A78" s="75" t="s">
        <v>140</v>
      </c>
      <c r="B78" s="68"/>
    </row>
    <row r="79" spans="1:2" ht="12.75">
      <c r="A79" s="76" t="s">
        <v>55</v>
      </c>
      <c r="B79" s="69"/>
    </row>
    <row r="80" spans="1:2" ht="14.25">
      <c r="A80" s="66" t="s">
        <v>56</v>
      </c>
      <c r="B80" s="70"/>
    </row>
    <row r="81" spans="1:2" ht="14.25">
      <c r="A81" s="66" t="s">
        <v>57</v>
      </c>
      <c r="B81" s="70"/>
    </row>
    <row r="82" spans="1:2" ht="21">
      <c r="A82" s="76" t="s">
        <v>42</v>
      </c>
      <c r="B82" s="64"/>
    </row>
    <row r="83" spans="1:2" ht="12.75">
      <c r="A83" s="62" t="s">
        <v>43</v>
      </c>
      <c r="B83" s="70"/>
    </row>
    <row r="84" spans="1:2" ht="12.75">
      <c r="A84" s="62" t="s">
        <v>6</v>
      </c>
      <c r="B84" s="70"/>
    </row>
    <row r="85" spans="1:2" ht="12.75">
      <c r="A85" s="62" t="s">
        <v>44</v>
      </c>
      <c r="B85" s="70"/>
    </row>
    <row r="86" spans="1:2" ht="12.75">
      <c r="A86" s="62" t="s">
        <v>45</v>
      </c>
      <c r="B86" s="87"/>
    </row>
    <row r="87" spans="1:2" ht="12.75">
      <c r="A87" s="78"/>
      <c r="B87" s="74"/>
    </row>
    <row r="88" spans="1:2" ht="22.5">
      <c r="A88" s="75" t="s">
        <v>46</v>
      </c>
      <c r="B88" s="68"/>
    </row>
    <row r="89" spans="1:2" ht="12.75" customHeight="1">
      <c r="A89" s="76" t="s">
        <v>92</v>
      </c>
      <c r="B89" s="69"/>
    </row>
    <row r="90" spans="1:2" ht="12.75">
      <c r="A90" s="79" t="s">
        <v>93</v>
      </c>
      <c r="B90" s="70"/>
    </row>
    <row r="91" spans="1:2" ht="12.75">
      <c r="A91" s="79" t="s">
        <v>94</v>
      </c>
      <c r="B91" s="70"/>
    </row>
    <row r="92" spans="1:2" ht="21">
      <c r="A92" s="76" t="s">
        <v>47</v>
      </c>
      <c r="B92" s="68"/>
    </row>
    <row r="93" spans="1:2" ht="12.75">
      <c r="A93" s="81" t="s">
        <v>48</v>
      </c>
      <c r="B93" s="69"/>
    </row>
    <row r="94" spans="1:2" ht="14.25">
      <c r="A94" s="79" t="s">
        <v>58</v>
      </c>
      <c r="B94" s="70"/>
    </row>
    <row r="95" spans="1:2" ht="12.75">
      <c r="A95" s="79" t="s">
        <v>49</v>
      </c>
      <c r="B95" s="70"/>
    </row>
    <row r="96" spans="1:2" ht="14.25">
      <c r="A96" s="79" t="s">
        <v>59</v>
      </c>
      <c r="B96" s="82" t="e">
        <f>B94/B95</f>
        <v>#DIV/0!</v>
      </c>
    </row>
    <row r="97" spans="1:2" ht="12.75">
      <c r="A97" s="51"/>
      <c r="B97" s="83"/>
    </row>
    <row r="98" spans="1:2" ht="12.75" customHeight="1">
      <c r="A98" s="147" t="s">
        <v>141</v>
      </c>
      <c r="B98" s="54"/>
    </row>
    <row r="99" spans="1:2" ht="14.25" customHeight="1">
      <c r="A99" s="148"/>
      <c r="B99" s="55"/>
    </row>
    <row r="100" spans="1:2" ht="12.75" customHeight="1">
      <c r="A100" s="56" t="s">
        <v>76</v>
      </c>
      <c r="B100" s="84" t="str">
        <f>B6</f>
        <v>2000 base year</v>
      </c>
    </row>
    <row r="101" spans="1:2" ht="12.75">
      <c r="A101" s="58" t="s">
        <v>54</v>
      </c>
      <c r="B101" s="85"/>
    </row>
    <row r="102" spans="1:2" ht="12.75">
      <c r="A102" s="60" t="s">
        <v>77</v>
      </c>
      <c r="B102" s="61"/>
    </row>
    <row r="103" spans="1:2" ht="12.75">
      <c r="A103" s="62" t="s">
        <v>78</v>
      </c>
      <c r="B103" s="88">
        <f>B9+B56</f>
        <v>972.8401132000001</v>
      </c>
    </row>
    <row r="104" spans="1:2" ht="12.75">
      <c r="A104" s="62" t="s">
        <v>71</v>
      </c>
      <c r="B104" s="88">
        <f>B10+B57</f>
        <v>7.566783010799999</v>
      </c>
    </row>
    <row r="105" spans="1:2" ht="12.75">
      <c r="A105" s="62" t="s">
        <v>79</v>
      </c>
      <c r="B105" s="88">
        <f>B11+B58</f>
        <v>0</v>
      </c>
    </row>
    <row r="106" spans="1:2" ht="12.75">
      <c r="A106" s="62" t="s">
        <v>80</v>
      </c>
      <c r="B106" s="64"/>
    </row>
    <row r="107" spans="1:2" ht="12.75">
      <c r="A107" s="117">
        <f>IF($A$13&gt;0,$A$13,"")</f>
      </c>
      <c r="B107" s="88">
        <f>B13+B60</f>
        <v>0</v>
      </c>
    </row>
    <row r="108" spans="1:2" ht="12.75">
      <c r="A108" s="117">
        <f>IF($A$14&gt;0,$A$14,"")</f>
      </c>
      <c r="B108" s="88">
        <f>B14+B61</f>
        <v>0</v>
      </c>
    </row>
    <row r="109" spans="1:2" ht="13.5" thickBot="1">
      <c r="A109" s="117">
        <f>IF($A$15&gt;0,$A$15,"")</f>
      </c>
      <c r="B109" s="89">
        <f>B15+B62</f>
        <v>0</v>
      </c>
    </row>
    <row r="110" spans="1:2" ht="13.5" thickTop="1">
      <c r="A110" s="66" t="s">
        <v>81</v>
      </c>
      <c r="B110" s="67">
        <f>B16+B63</f>
        <v>980.4068962108001</v>
      </c>
    </row>
    <row r="111" spans="1:2" ht="12.75">
      <c r="A111" s="60" t="s">
        <v>82</v>
      </c>
      <c r="B111" s="64"/>
    </row>
    <row r="112" spans="1:2" ht="12.75">
      <c r="A112" s="62" t="s">
        <v>83</v>
      </c>
      <c r="B112" s="88">
        <f>B18+B65</f>
        <v>2837.062487344081</v>
      </c>
    </row>
    <row r="113" spans="1:2" ht="12.75">
      <c r="A113" s="62" t="s">
        <v>84</v>
      </c>
      <c r="B113" s="88">
        <f>B19+B66</f>
        <v>0</v>
      </c>
    </row>
    <row r="114" spans="1:2" ht="13.5" thickBot="1">
      <c r="A114" s="62" t="s">
        <v>85</v>
      </c>
      <c r="B114" s="89">
        <f>B20+B67</f>
        <v>0</v>
      </c>
    </row>
    <row r="115" spans="1:2" ht="13.5" thickTop="1">
      <c r="A115" s="66" t="s">
        <v>86</v>
      </c>
      <c r="B115" s="67">
        <f>B21+B68</f>
        <v>2837.062487344081</v>
      </c>
    </row>
    <row r="116" spans="1:2" ht="12.75">
      <c r="A116" s="60" t="s">
        <v>87</v>
      </c>
      <c r="B116" s="68"/>
    </row>
    <row r="117" spans="1:2" ht="12.75">
      <c r="A117" s="62" t="s">
        <v>88</v>
      </c>
      <c r="B117" s="69"/>
    </row>
    <row r="118" spans="1:2" ht="12.75">
      <c r="A118" s="117">
        <f>IF($A$24&gt;0,$A$24,"")</f>
      </c>
      <c r="B118" s="88">
        <f>B24+B71</f>
        <v>0</v>
      </c>
    </row>
    <row r="119" spans="1:2" ht="12.75">
      <c r="A119" s="117">
        <f>IF($A$25&gt;0,$A$25,"")</f>
      </c>
      <c r="B119" s="88">
        <f>B25+B72</f>
        <v>0</v>
      </c>
    </row>
    <row r="120" spans="1:2" ht="13.5" thickBot="1">
      <c r="A120" s="117">
        <f>IF($A$26&gt;0,$A$26,"")</f>
      </c>
      <c r="B120" s="89">
        <f>B26+B73</f>
        <v>0</v>
      </c>
    </row>
    <row r="121" spans="1:2" ht="13.5" thickTop="1">
      <c r="A121" s="66" t="s">
        <v>89</v>
      </c>
      <c r="B121" s="67">
        <f>B27+B74</f>
        <v>0</v>
      </c>
    </row>
    <row r="122" spans="1:2" ht="12.75">
      <c r="A122" s="60" t="s">
        <v>40</v>
      </c>
      <c r="B122" s="64"/>
    </row>
    <row r="123" spans="1:2" ht="12.75">
      <c r="A123" s="66" t="s">
        <v>52</v>
      </c>
      <c r="B123" s="72">
        <f>B29+B76</f>
        <v>3817.4693835548815</v>
      </c>
    </row>
    <row r="124" spans="1:2" ht="12.75">
      <c r="A124" s="73"/>
      <c r="B124" s="74"/>
    </row>
    <row r="125" spans="1:2" ht="12.75" customHeight="1">
      <c r="A125" s="75" t="s">
        <v>140</v>
      </c>
      <c r="B125" s="68"/>
    </row>
    <row r="126" spans="1:2" ht="12.75">
      <c r="A126" s="76" t="s">
        <v>55</v>
      </c>
      <c r="B126" s="69"/>
    </row>
    <row r="127" spans="1:2" ht="14.25">
      <c r="A127" s="66" t="s">
        <v>56</v>
      </c>
      <c r="B127" s="88">
        <f>B33+B80</f>
        <v>0</v>
      </c>
    </row>
    <row r="128" spans="1:2" ht="14.25">
      <c r="A128" s="66" t="s">
        <v>57</v>
      </c>
      <c r="B128" s="88">
        <f>B34+B81</f>
        <v>0</v>
      </c>
    </row>
    <row r="129" spans="1:2" ht="21">
      <c r="A129" s="76" t="s">
        <v>42</v>
      </c>
      <c r="B129" s="64"/>
    </row>
    <row r="130" spans="1:2" ht="12.75">
      <c r="A130" s="62" t="s">
        <v>43</v>
      </c>
      <c r="B130" s="88">
        <f>B36+B83</f>
        <v>0</v>
      </c>
    </row>
    <row r="131" spans="1:2" ht="12.75">
      <c r="A131" s="62" t="s">
        <v>6</v>
      </c>
      <c r="B131" s="88">
        <f>B37+B84</f>
        <v>0</v>
      </c>
    </row>
    <row r="132" spans="1:2" ht="12.75">
      <c r="A132" s="62" t="s">
        <v>44</v>
      </c>
      <c r="B132" s="88">
        <f>B38+B85</f>
        <v>0</v>
      </c>
    </row>
    <row r="133" spans="1:2" ht="12.75">
      <c r="A133" s="62" t="s">
        <v>45</v>
      </c>
      <c r="B133" s="67">
        <f>B39+B86</f>
        <v>0</v>
      </c>
    </row>
    <row r="134" spans="1:2" ht="12.75">
      <c r="A134" s="78"/>
      <c r="B134" s="74"/>
    </row>
    <row r="135" spans="1:2" ht="22.5">
      <c r="A135" s="75" t="s">
        <v>46</v>
      </c>
      <c r="B135" s="68"/>
    </row>
    <row r="136" spans="1:2" ht="12.75" customHeight="1">
      <c r="A136" s="76" t="s">
        <v>92</v>
      </c>
      <c r="B136" s="69"/>
    </row>
    <row r="137" spans="1:2" ht="12.75">
      <c r="A137" s="79" t="s">
        <v>93</v>
      </c>
      <c r="B137" s="88">
        <f>B43+B90</f>
        <v>0</v>
      </c>
    </row>
    <row r="138" spans="1:2" ht="12.75">
      <c r="A138" s="79" t="s">
        <v>94</v>
      </c>
      <c r="B138" s="88">
        <f>B44+B91</f>
        <v>0</v>
      </c>
    </row>
    <row r="139" spans="1:2" ht="21">
      <c r="A139" s="76" t="s">
        <v>47</v>
      </c>
      <c r="B139" s="68"/>
    </row>
    <row r="140" spans="1:2" ht="12.75">
      <c r="A140" s="81" t="s">
        <v>48</v>
      </c>
      <c r="B140" s="69"/>
    </row>
    <row r="141" spans="1:2" ht="14.25">
      <c r="A141" s="79" t="s">
        <v>58</v>
      </c>
      <c r="B141" s="88">
        <f>B47+B94</f>
        <v>0</v>
      </c>
    </row>
    <row r="142" spans="1:2" ht="12.75">
      <c r="A142" s="79" t="s">
        <v>49</v>
      </c>
      <c r="B142" s="88">
        <f>B48+B95</f>
        <v>0</v>
      </c>
    </row>
    <row r="143" spans="1:2" ht="14.25">
      <c r="A143" s="79" t="s">
        <v>59</v>
      </c>
      <c r="B143" s="82" t="e">
        <f>B49+B96</f>
        <v>#DIV/0!</v>
      </c>
    </row>
    <row r="144" spans="1:2" ht="12.75">
      <c r="A144" s="90"/>
      <c r="B144" s="74"/>
    </row>
    <row r="145" spans="1:2" ht="12.75" customHeight="1">
      <c r="A145" s="147" t="s">
        <v>142</v>
      </c>
      <c r="B145" s="54"/>
    </row>
    <row r="146" spans="1:2" ht="14.25" customHeight="1">
      <c r="A146" s="148"/>
      <c r="B146" s="55"/>
    </row>
    <row r="147" spans="1:2" ht="12.75" customHeight="1">
      <c r="A147" s="56" t="s">
        <v>76</v>
      </c>
      <c r="B147" s="84" t="str">
        <f>B6</f>
        <v>2000 base year</v>
      </c>
    </row>
    <row r="148" spans="1:2" ht="22.5">
      <c r="A148" s="91" t="s">
        <v>60</v>
      </c>
      <c r="B148" s="59"/>
    </row>
    <row r="149" spans="1:2" ht="12.75">
      <c r="A149" s="62" t="s">
        <v>90</v>
      </c>
      <c r="B149" s="69"/>
    </row>
    <row r="150" spans="1:2" ht="12.75">
      <c r="A150" s="116"/>
      <c r="B150" s="70"/>
    </row>
    <row r="151" spans="1:2" ht="12.75">
      <c r="A151" s="116"/>
      <c r="B151" s="70"/>
    </row>
    <row r="152" spans="1:2" ht="13.5" thickBot="1">
      <c r="A152" s="116"/>
      <c r="B152" s="71"/>
    </row>
    <row r="153" spans="1:2" ht="13.5" thickTop="1">
      <c r="A153" s="66" t="s">
        <v>91</v>
      </c>
      <c r="B153" s="92">
        <f>SUM(B150:B152)</f>
        <v>0</v>
      </c>
    </row>
    <row r="154" spans="1:2" ht="12.75">
      <c r="A154" s="51"/>
      <c r="B154" s="51"/>
    </row>
    <row r="155" spans="1:2" ht="12.75">
      <c r="A155" s="51"/>
      <c r="B155" s="51"/>
    </row>
    <row r="156" ht="45" customHeight="1">
      <c r="A156" s="95" t="s">
        <v>53</v>
      </c>
    </row>
    <row r="157" spans="1:2" ht="12.75">
      <c r="A157" s="51"/>
      <c r="B157" s="93"/>
    </row>
    <row r="158" ht="45" customHeight="1">
      <c r="A158" s="95" t="s">
        <v>95</v>
      </c>
    </row>
    <row r="159" spans="1:2" ht="12.75" customHeight="1">
      <c r="A159" s="94"/>
      <c r="B159" s="94"/>
    </row>
    <row r="160" ht="45" customHeight="1">
      <c r="A160" s="95" t="s">
        <v>96</v>
      </c>
    </row>
    <row r="161" spans="1:2" ht="12.75">
      <c r="A161" s="51"/>
      <c r="B161" s="51"/>
    </row>
  </sheetData>
  <mergeCells count="4">
    <mergeCell ref="A145:A146"/>
    <mergeCell ref="A98:A99"/>
    <mergeCell ref="A51:A52"/>
    <mergeCell ref="A4:A5"/>
  </mergeCells>
  <printOptions/>
  <pageMargins left="0.5" right="0.5" top="0.75" bottom="0.75" header="0.5" footer="0.5"/>
  <pageSetup horizontalDpi="600" verticalDpi="600" orientation="landscape" pageOrder="overThenDown" scale="60" r:id="rId1"/>
  <headerFooter alignWithMargins="0">
    <oddHeader>&amp;CCLIMATE LEADERS ANNUAL INVENTORY SUMMARY AND GOAL TRACKING FORM</oddHeader>
    <oddFooter>&amp;L&amp;"Times New Roman,Regular"&amp;8Climate Leaders Reporting – Annual Inventory Summary and Goal Tracking Form&amp;C&amp;"Times New Roman,Regular"&amp;8Page &amp;P of &amp;N&amp;R&amp;"Times New Roman,Regular"&amp;8REVISED: 03/24/2004</oddFooter>
  </headerFooter>
  <rowBreaks count="3" manualBreakCount="3">
    <brk id="50" max="22" man="1"/>
    <brk id="96" max="22" man="1"/>
    <brk id="15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21.28125" style="0" customWidth="1"/>
    <col min="2" max="2" width="8.421875" style="0" customWidth="1"/>
    <col min="3" max="3" width="11.57421875" style="0" customWidth="1"/>
    <col min="4" max="4" width="6.57421875" style="0" customWidth="1"/>
    <col min="5" max="5" width="6.8515625" style="0" customWidth="1"/>
    <col min="6" max="8" width="8.8515625" style="0" customWidth="1"/>
    <col min="9" max="9" width="9.28125" style="0" customWidth="1"/>
    <col min="10" max="11" width="8.8515625" style="0" customWidth="1"/>
    <col min="12" max="12" width="9.28125" style="0" customWidth="1"/>
    <col min="13" max="13" width="13.7109375" style="0" customWidth="1"/>
    <col min="14" max="14" width="10.7109375" style="0" customWidth="1"/>
  </cols>
  <sheetData>
    <row r="1" ht="12.75">
      <c r="A1" s="1" t="s">
        <v>145</v>
      </c>
    </row>
    <row r="2" ht="12.75">
      <c r="A2" s="1" t="s">
        <v>135</v>
      </c>
    </row>
    <row r="3" ht="12.75">
      <c r="A3" s="1"/>
    </row>
    <row r="4" spans="1:14" ht="12.75">
      <c r="A4" s="48" t="s">
        <v>106</v>
      </c>
      <c r="B4" s="22"/>
      <c r="C4" s="100"/>
      <c r="D4" s="22"/>
      <c r="E4" s="23"/>
      <c r="F4" s="24"/>
      <c r="G4" s="17"/>
      <c r="H4" s="17"/>
      <c r="I4" s="17"/>
      <c r="J4" s="17"/>
      <c r="K4" s="17"/>
      <c r="L4" s="17"/>
      <c r="M4" s="17"/>
      <c r="N4" s="17"/>
    </row>
    <row r="5" spans="1:14" ht="12.75">
      <c r="A5" s="42" t="s">
        <v>107</v>
      </c>
      <c r="B5" s="24" t="s">
        <v>9</v>
      </c>
      <c r="C5" s="101">
        <f>Electricity!H13</f>
        <v>2837.062487344081</v>
      </c>
      <c r="D5" s="142">
        <f>C5/$C$8</f>
        <v>0.7431788450133341</v>
      </c>
      <c r="E5" s="25" t="s">
        <v>10</v>
      </c>
      <c r="F5" s="24"/>
      <c r="G5" s="17"/>
      <c r="H5" s="17"/>
      <c r="I5" s="17"/>
      <c r="J5" s="17"/>
      <c r="K5" s="17"/>
      <c r="L5" s="17"/>
      <c r="M5" s="17"/>
      <c r="N5" s="17"/>
    </row>
    <row r="6" spans="1:14" ht="12.75">
      <c r="A6" s="42" t="s">
        <v>108</v>
      </c>
      <c r="B6" s="24" t="s">
        <v>9</v>
      </c>
      <c r="C6" s="101">
        <f>'Stationary Combustion'!F16</f>
        <v>972.8401132000001</v>
      </c>
      <c r="D6" s="142">
        <f>C6/$C$8</f>
        <v>0.25483900863510733</v>
      </c>
      <c r="E6" s="25"/>
      <c r="F6" s="24"/>
      <c r="G6" s="17"/>
      <c r="H6" s="17"/>
      <c r="I6" s="17"/>
      <c r="J6" s="17"/>
      <c r="K6" s="17"/>
      <c r="L6" s="17"/>
      <c r="M6" s="17"/>
      <c r="N6" s="17"/>
    </row>
    <row r="7" spans="1:14" ht="12.75">
      <c r="A7" s="42" t="s">
        <v>109</v>
      </c>
      <c r="B7" s="24" t="s">
        <v>9</v>
      </c>
      <c r="C7" s="101">
        <f>'Mobile Sources'!F12</f>
        <v>7.566783010799999</v>
      </c>
      <c r="D7" s="143">
        <f>C7/$C$8</f>
        <v>0.0019821463515586088</v>
      </c>
      <c r="E7" s="25"/>
      <c r="F7" s="24"/>
      <c r="G7" s="17"/>
      <c r="H7" s="17"/>
      <c r="I7" s="17"/>
      <c r="J7" s="17"/>
      <c r="K7" s="17"/>
      <c r="L7" s="17"/>
      <c r="M7" s="17"/>
      <c r="N7" s="17"/>
    </row>
    <row r="8" spans="1:14" ht="12.75">
      <c r="A8" s="43" t="s">
        <v>70</v>
      </c>
      <c r="B8" s="26"/>
      <c r="C8" s="124">
        <f>SUM(C5:C7)</f>
        <v>3817.469383554881</v>
      </c>
      <c r="D8" s="98" t="s">
        <v>9</v>
      </c>
      <c r="E8" s="27"/>
      <c r="F8" s="24"/>
      <c r="G8" s="17"/>
      <c r="H8" s="17"/>
      <c r="I8" s="17"/>
      <c r="J8" s="17"/>
      <c r="K8" s="17"/>
      <c r="L8" s="17"/>
      <c r="M8" s="17"/>
      <c r="N8" s="17"/>
    </row>
    <row r="9" spans="1:14" ht="12.75">
      <c r="A9" s="44"/>
      <c r="B9" s="28"/>
      <c r="C9" s="125"/>
      <c r="D9" s="28"/>
      <c r="E9" s="29"/>
      <c r="F9" s="24"/>
      <c r="G9" s="17"/>
      <c r="H9" s="17"/>
      <c r="I9" s="17"/>
      <c r="J9" s="17"/>
      <c r="K9" s="17"/>
      <c r="L9" s="17"/>
      <c r="M9" s="17"/>
      <c r="N9" s="17"/>
    </row>
    <row r="10" ht="12.75">
      <c r="A10" s="49"/>
    </row>
    <row r="11" ht="12.75">
      <c r="A11" s="49"/>
    </row>
    <row r="12" ht="12.75">
      <c r="A12" t="s">
        <v>161</v>
      </c>
    </row>
  </sheetData>
  <printOptions/>
  <pageMargins left="0.75" right="0.75" top="1" bottom="1" header="0.5" footer="0.5"/>
  <pageSetup fitToHeight="1" fitToWidth="1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N6" sqref="N6"/>
    </sheetView>
  </sheetViews>
  <sheetFormatPr defaultColWidth="9.140625" defaultRowHeight="12.75"/>
  <cols>
    <col min="1" max="1" width="30.00390625" style="0" customWidth="1"/>
    <col min="2" max="2" width="6.28125" style="0" customWidth="1"/>
    <col min="3" max="3" width="9.28125" style="0" customWidth="1"/>
    <col min="4" max="4" width="12.8515625" style="0" customWidth="1"/>
    <col min="5" max="7" width="7.7109375" style="0" customWidth="1"/>
    <col min="8" max="10" width="9.28125" style="0" customWidth="1"/>
  </cols>
  <sheetData>
    <row r="1" spans="1:3" ht="12.75">
      <c r="A1" s="1" t="s">
        <v>146</v>
      </c>
      <c r="B1" s="1"/>
      <c r="C1" s="17"/>
    </row>
    <row r="2" spans="1:3" ht="12.75">
      <c r="A2" s="1" t="s">
        <v>135</v>
      </c>
      <c r="B2" s="1"/>
      <c r="C2" s="1"/>
    </row>
    <row r="3" spans="3:10" ht="48">
      <c r="C3" s="1"/>
      <c r="H3" s="34"/>
      <c r="I3" s="41" t="s">
        <v>126</v>
      </c>
      <c r="J3" s="41" t="s">
        <v>127</v>
      </c>
    </row>
    <row r="4" spans="3:10" ht="12.75">
      <c r="C4" s="1"/>
      <c r="I4" s="15">
        <v>21</v>
      </c>
      <c r="J4" s="15">
        <v>310</v>
      </c>
    </row>
    <row r="5" spans="1:7" ht="12.75">
      <c r="A5" s="17"/>
      <c r="B5" s="17"/>
      <c r="C5" s="7"/>
      <c r="D5" s="19"/>
      <c r="E5" s="149" t="s">
        <v>102</v>
      </c>
      <c r="F5" s="149"/>
      <c r="G5" s="149"/>
    </row>
    <row r="6" spans="1:10" ht="48">
      <c r="A6" s="13" t="s">
        <v>5</v>
      </c>
      <c r="B6" s="13" t="s">
        <v>132</v>
      </c>
      <c r="C6" s="14" t="s">
        <v>24</v>
      </c>
      <c r="D6" s="14" t="s">
        <v>6</v>
      </c>
      <c r="E6" s="14" t="s">
        <v>103</v>
      </c>
      <c r="F6" s="14" t="s">
        <v>104</v>
      </c>
      <c r="G6" s="14" t="s">
        <v>105</v>
      </c>
      <c r="H6" s="14" t="s">
        <v>7</v>
      </c>
      <c r="I6" s="14" t="s">
        <v>73</v>
      </c>
      <c r="J6" s="14" t="s">
        <v>74</v>
      </c>
    </row>
    <row r="7" spans="1:10" ht="12.75">
      <c r="A7" s="16" t="s">
        <v>149</v>
      </c>
      <c r="B7" s="16" t="s">
        <v>134</v>
      </c>
      <c r="C7" s="15">
        <v>23</v>
      </c>
      <c r="D7" s="30">
        <v>2478900</v>
      </c>
      <c r="E7" s="17">
        <f>VLOOKUP($C7,'Emission factors'!$A$4:$E$30,3,FALSE)</f>
        <v>804.54</v>
      </c>
      <c r="F7" s="47">
        <f>VLOOKUP($C7,'Emission factors'!$A$4:$E$30,4,FALSE)</f>
        <v>0.0305</v>
      </c>
      <c r="G7" s="47">
        <f>VLOOKUP($C7,'Emission factors'!$A$4:$E$30,5,FALSE)</f>
        <v>0.0073</v>
      </c>
      <c r="H7" s="18">
        <f>$D7/1000*E7/2205</f>
        <v>904.4780979591836</v>
      </c>
      <c r="I7" s="18">
        <f aca="true" t="shared" si="0" ref="I7:J11">$D7/1000*F7/2.205</f>
        <v>34.28863945578231</v>
      </c>
      <c r="J7" s="18">
        <f t="shared" si="0"/>
        <v>8.20678911564626</v>
      </c>
    </row>
    <row r="8" spans="1:10" ht="12.75">
      <c r="A8" s="16" t="s">
        <v>150</v>
      </c>
      <c r="B8" s="16" t="s">
        <v>134</v>
      </c>
      <c r="C8" s="15">
        <v>23</v>
      </c>
      <c r="D8" s="32">
        <v>1461120</v>
      </c>
      <c r="E8" s="17">
        <f>VLOOKUP($C8,'Emission factors'!$A$4:$E$30,3,FALSE)</f>
        <v>804.54</v>
      </c>
      <c r="F8" s="47">
        <f>VLOOKUP($C8,'Emission factors'!$A$4:$E$30,4,FALSE)</f>
        <v>0.0305</v>
      </c>
      <c r="G8" s="47">
        <f>VLOOKUP($C8,'Emission factors'!$A$4:$E$30,5,FALSE)</f>
        <v>0.0073</v>
      </c>
      <c r="H8" s="18">
        <f>$D8/1000*E8/2205</f>
        <v>533.119947755102</v>
      </c>
      <c r="I8" s="99">
        <f>$D8/1000*F8/2.205</f>
        <v>20.21050340136054</v>
      </c>
      <c r="J8" s="99">
        <f>$D8/1000*G8/2.205</f>
        <v>4.837268027210884</v>
      </c>
    </row>
    <row r="9" spans="1:10" ht="12.75">
      <c r="A9" s="16" t="s">
        <v>151</v>
      </c>
      <c r="B9" s="16" t="s">
        <v>134</v>
      </c>
      <c r="C9" s="15">
        <v>23</v>
      </c>
      <c r="D9" s="32">
        <v>786290</v>
      </c>
      <c r="E9" s="17">
        <f>VLOOKUP($C9,'Emission factors'!$A$4:$E$30,3,FALSE)</f>
        <v>804.54</v>
      </c>
      <c r="F9" s="47">
        <f>VLOOKUP($C9,'Emission factors'!$A$4:$E$30,4,FALSE)</f>
        <v>0.0305</v>
      </c>
      <c r="G9" s="47">
        <f>VLOOKUP($C9,'Emission factors'!$A$4:$E$30,5,FALSE)</f>
        <v>0.0073</v>
      </c>
      <c r="H9" s="18">
        <f>$D9/1000*E9/2205</f>
        <v>286.8942206802721</v>
      </c>
      <c r="I9" s="18">
        <f>$D9/1000*F9/2.205</f>
        <v>10.876120181405895</v>
      </c>
      <c r="J9" s="18">
        <f>$D9/1000*G9/2.205</f>
        <v>2.603136961451247</v>
      </c>
    </row>
    <row r="10" spans="1:10" ht="12.75">
      <c r="A10" s="16" t="s">
        <v>152</v>
      </c>
      <c r="B10" s="16" t="s">
        <v>133</v>
      </c>
      <c r="C10" s="15">
        <v>14</v>
      </c>
      <c r="D10" s="32">
        <v>988000</v>
      </c>
      <c r="E10" s="17">
        <f>VLOOKUP($C10,'Emission factors'!$A$4:$E$30,3,FALSE)</f>
        <v>1237.29</v>
      </c>
      <c r="F10" s="47">
        <f>VLOOKUP($C10,'Emission factors'!$A$4:$E$30,4,FALSE)</f>
        <v>0.0144</v>
      </c>
      <c r="G10" s="47">
        <f>VLOOKUP($C10,'Emission factors'!$A$4:$E$30,5,FALSE)</f>
        <v>0.0181</v>
      </c>
      <c r="H10" s="18">
        <f>$D10/1000*E10/2205</f>
        <v>554.3957006802722</v>
      </c>
      <c r="I10" s="99">
        <f t="shared" si="0"/>
        <v>6.452244897959184</v>
      </c>
      <c r="J10" s="99">
        <f t="shared" si="0"/>
        <v>8.110113378684808</v>
      </c>
    </row>
    <row r="11" spans="1:10" ht="13.5" thickBot="1">
      <c r="A11" s="16" t="s">
        <v>153</v>
      </c>
      <c r="B11" s="16" t="s">
        <v>137</v>
      </c>
      <c r="C11" s="15">
        <v>5</v>
      </c>
      <c r="D11" s="32">
        <v>1098027</v>
      </c>
      <c r="E11" s="17">
        <f>VLOOKUP($C11,'Emission factors'!$A$4:$E$30,3,FALSE)</f>
        <v>1097.55</v>
      </c>
      <c r="F11" s="47">
        <f>VLOOKUP($C11,'Emission factors'!$A$4:$E$30,4,FALSE)</f>
        <v>0.0241</v>
      </c>
      <c r="G11" s="47">
        <f>VLOOKUP($C11,'Emission factors'!$A$4:$E$30,5,FALSE)</f>
        <v>0.0162</v>
      </c>
      <c r="H11" s="18">
        <f>$D11/1000*E11/2205</f>
        <v>546.5485414285714</v>
      </c>
      <c r="I11" s="18">
        <f t="shared" si="0"/>
        <v>12.001111428571429</v>
      </c>
      <c r="J11" s="18">
        <f t="shared" si="0"/>
        <v>8.067137142857142</v>
      </c>
    </row>
    <row r="12" spans="1:10" ht="12.75">
      <c r="A12" s="103"/>
      <c r="B12" s="103"/>
      <c r="C12" s="104"/>
      <c r="D12" s="105">
        <f>SUM(D7:D11)</f>
        <v>6812337</v>
      </c>
      <c r="E12" s="106"/>
      <c r="F12" s="107"/>
      <c r="G12" s="107"/>
      <c r="H12" s="105">
        <f>SUM(H7:H11)</f>
        <v>2825.436508503401</v>
      </c>
      <c r="I12" s="105">
        <f>SUM(I7:I11)</f>
        <v>83.82861936507938</v>
      </c>
      <c r="J12" s="105">
        <f>SUM(J7:J11)</f>
        <v>31.82444462585034</v>
      </c>
    </row>
    <row r="13" spans="1:10" ht="13.5" thickBot="1">
      <c r="A13" s="108"/>
      <c r="B13" s="108"/>
      <c r="C13" s="109"/>
      <c r="D13" s="111"/>
      <c r="E13" s="110"/>
      <c r="F13" s="112"/>
      <c r="G13" s="113" t="s">
        <v>72</v>
      </c>
      <c r="H13" s="111">
        <f>H12+I12/1000*$I$4+J12/1000*$J$4</f>
        <v>2837.062487344081</v>
      </c>
      <c r="I13" s="110"/>
      <c r="J13" s="110"/>
    </row>
    <row r="16" ht="12.75">
      <c r="A16" s="119" t="s">
        <v>155</v>
      </c>
    </row>
    <row r="17" ht="12.75">
      <c r="A17" t="s">
        <v>156</v>
      </c>
    </row>
    <row r="18" ht="12.75">
      <c r="A18" t="s">
        <v>157</v>
      </c>
    </row>
  </sheetData>
  <mergeCells count="1">
    <mergeCell ref="E5:G5"/>
  </mergeCells>
  <printOptions/>
  <pageMargins left="0.75" right="0.75" top="1" bottom="1" header="0.5" footer="0.5"/>
  <pageSetup horizontalDpi="300" verticalDpi="3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K19" sqref="K19"/>
    </sheetView>
  </sheetViews>
  <sheetFormatPr defaultColWidth="9.140625" defaultRowHeight="12.75"/>
  <cols>
    <col min="1" max="1" width="30.7109375" style="0" customWidth="1"/>
    <col min="2" max="2" width="11.00390625" style="0" customWidth="1"/>
    <col min="3" max="3" width="9.421875" style="0" customWidth="1"/>
    <col min="4" max="11" width="9.57421875" style="0" customWidth="1"/>
    <col min="12" max="14" width="9.28125" style="0" customWidth="1"/>
  </cols>
  <sheetData>
    <row r="1" ht="12.75">
      <c r="A1" s="1" t="s">
        <v>147</v>
      </c>
    </row>
    <row r="2" ht="12.75">
      <c r="A2" s="1" t="s">
        <v>135</v>
      </c>
    </row>
    <row r="3" spans="6:7" ht="12.75">
      <c r="F3" s="120"/>
      <c r="G3" s="49"/>
    </row>
    <row r="4" spans="2:10" ht="60">
      <c r="B4" s="21" t="s">
        <v>69</v>
      </c>
      <c r="C4" s="21" t="s">
        <v>143</v>
      </c>
      <c r="D4" s="21" t="s">
        <v>144</v>
      </c>
      <c r="E4" s="150" t="s">
        <v>1</v>
      </c>
      <c r="F4" s="151"/>
      <c r="G4" s="151"/>
      <c r="I4" s="41" t="s">
        <v>126</v>
      </c>
      <c r="J4" s="41" t="s">
        <v>127</v>
      </c>
    </row>
    <row r="5" spans="1:10" ht="12.75">
      <c r="A5" s="19" t="s">
        <v>8</v>
      </c>
      <c r="B5" s="20">
        <v>52.79</v>
      </c>
      <c r="C5" s="15">
        <v>4.75</v>
      </c>
      <c r="D5" s="15">
        <v>0.095</v>
      </c>
      <c r="E5" s="121">
        <v>1027</v>
      </c>
      <c r="F5" s="122" t="s">
        <v>4</v>
      </c>
      <c r="G5" s="49"/>
      <c r="I5" s="15">
        <v>21</v>
      </c>
      <c r="J5" s="15">
        <v>310</v>
      </c>
    </row>
    <row r="6" spans="1:7" ht="12.75">
      <c r="A6" s="19" t="s">
        <v>131</v>
      </c>
      <c r="B6" s="20">
        <v>72.42</v>
      </c>
      <c r="C6" s="102">
        <v>10</v>
      </c>
      <c r="D6" s="15">
        <v>0.601</v>
      </c>
      <c r="E6" s="123">
        <f>5.825/42</f>
        <v>0.1386904761904762</v>
      </c>
      <c r="F6" s="122" t="s">
        <v>0</v>
      </c>
      <c r="G6" s="49"/>
    </row>
    <row r="7" spans="2:3" ht="12.75">
      <c r="B7" s="17"/>
      <c r="C7" s="17"/>
    </row>
    <row r="8" spans="2:5" ht="12.75">
      <c r="B8" s="149" t="s">
        <v>8</v>
      </c>
      <c r="C8" s="149"/>
      <c r="D8" s="152" t="s">
        <v>158</v>
      </c>
      <c r="E8" s="152"/>
    </row>
    <row r="9" spans="1:8" ht="48">
      <c r="A9" s="13" t="s">
        <v>5</v>
      </c>
      <c r="B9" s="14" t="s">
        <v>154</v>
      </c>
      <c r="C9" s="14" t="s">
        <v>2</v>
      </c>
      <c r="D9" s="14" t="s">
        <v>3</v>
      </c>
      <c r="E9" s="14" t="s">
        <v>2</v>
      </c>
      <c r="F9" s="14" t="s">
        <v>7</v>
      </c>
      <c r="G9" s="14" t="s">
        <v>73</v>
      </c>
      <c r="H9" s="14" t="s">
        <v>74</v>
      </c>
    </row>
    <row r="10" spans="1:8" ht="12.75" customHeight="1">
      <c r="A10" s="16" t="s">
        <v>149</v>
      </c>
      <c r="B10" s="30">
        <v>46226</v>
      </c>
      <c r="C10" s="16">
        <f>B10*0.1</f>
        <v>4622.6</v>
      </c>
      <c r="D10" s="16">
        <v>0</v>
      </c>
      <c r="E10" s="16">
        <f>D10*$E$6</f>
        <v>0</v>
      </c>
      <c r="F10" s="16">
        <f aca="true" t="shared" si="0" ref="F10:H14">($C10*B$5+$E10*B$6)/1000</f>
        <v>244.027054</v>
      </c>
      <c r="G10" s="16">
        <f t="shared" si="0"/>
        <v>21.95735</v>
      </c>
      <c r="H10" s="16">
        <f t="shared" si="0"/>
        <v>0.43914700000000007</v>
      </c>
    </row>
    <row r="11" spans="1:8" ht="12.75">
      <c r="A11" s="16" t="s">
        <v>150</v>
      </c>
      <c r="B11" s="31">
        <v>45943</v>
      </c>
      <c r="C11" s="16">
        <f>B11*0.1</f>
        <v>4594.3</v>
      </c>
      <c r="D11" s="16">
        <v>0</v>
      </c>
      <c r="E11" s="16">
        <f>D11*$E$6</f>
        <v>0</v>
      </c>
      <c r="F11" s="16">
        <f t="shared" si="0"/>
        <v>242.533097</v>
      </c>
      <c r="G11" s="16">
        <f t="shared" si="0"/>
        <v>21.822924999999998</v>
      </c>
      <c r="H11" s="16">
        <f t="shared" si="0"/>
        <v>0.4364585</v>
      </c>
    </row>
    <row r="12" spans="1:8" ht="12.75">
      <c r="A12" s="16" t="s">
        <v>151</v>
      </c>
      <c r="B12" s="32">
        <v>1833</v>
      </c>
      <c r="C12" s="16">
        <f>B12*0.1</f>
        <v>183.3</v>
      </c>
      <c r="D12" s="16">
        <v>0</v>
      </c>
      <c r="E12" s="16">
        <f>D12*$E$6</f>
        <v>0</v>
      </c>
      <c r="F12" s="16">
        <f t="shared" si="0"/>
        <v>9.676407000000001</v>
      </c>
      <c r="G12" s="16">
        <f t="shared" si="0"/>
        <v>0.8706750000000001</v>
      </c>
      <c r="H12" s="16">
        <f t="shared" si="0"/>
        <v>0.017413500000000002</v>
      </c>
    </row>
    <row r="13" spans="1:8" ht="12.75">
      <c r="A13" s="16" t="s">
        <v>152</v>
      </c>
      <c r="B13" s="31">
        <v>55000</v>
      </c>
      <c r="C13" s="16">
        <f>B13*0.1</f>
        <v>5500</v>
      </c>
      <c r="D13" s="16">
        <v>0</v>
      </c>
      <c r="E13" s="16">
        <f>D13*$E$6</f>
        <v>0</v>
      </c>
      <c r="F13" s="16">
        <f t="shared" si="0"/>
        <v>290.345</v>
      </c>
      <c r="G13" s="16">
        <f t="shared" si="0"/>
        <v>26.125</v>
      </c>
      <c r="H13" s="16">
        <f t="shared" si="0"/>
        <v>0.5225</v>
      </c>
    </row>
    <row r="14" spans="1:8" ht="12.75" customHeight="1" thickBot="1">
      <c r="A14" s="16" t="s">
        <v>153</v>
      </c>
      <c r="B14" s="31">
        <v>34833</v>
      </c>
      <c r="C14" s="16">
        <f>B14*0.1</f>
        <v>3483.3</v>
      </c>
      <c r="D14" s="16">
        <v>0</v>
      </c>
      <c r="E14" s="16">
        <f>D14*$E$6</f>
        <v>0</v>
      </c>
      <c r="F14" s="16">
        <f t="shared" si="0"/>
        <v>183.883407</v>
      </c>
      <c r="G14" s="16">
        <f t="shared" si="0"/>
        <v>16.545675</v>
      </c>
      <c r="H14" s="16">
        <f t="shared" si="0"/>
        <v>0.33091349999999997</v>
      </c>
    </row>
    <row r="15" spans="1:8" ht="12.75">
      <c r="A15" s="144"/>
      <c r="B15" s="105">
        <f>SUM(B10:B14)</f>
        <v>183835</v>
      </c>
      <c r="C15" s="105">
        <f>SUM(C10:C14)</f>
        <v>18383.5</v>
      </c>
      <c r="D15" s="105"/>
      <c r="E15" s="105">
        <f>SUM(E10:E14)</f>
        <v>0</v>
      </c>
      <c r="F15" s="105">
        <f>SUM(F10:F14)</f>
        <v>970.4649650000001</v>
      </c>
      <c r="G15" s="105">
        <f>SUM(G10:G14)</f>
        <v>87.321625</v>
      </c>
      <c r="H15" s="145">
        <f>SUM(H10:H14)</f>
        <v>1.7464325</v>
      </c>
    </row>
    <row r="16" spans="1:8" ht="12.75" customHeight="1" thickBot="1">
      <c r="A16" s="146"/>
      <c r="B16" s="110"/>
      <c r="C16" s="111"/>
      <c r="D16" s="110"/>
      <c r="E16" s="113" t="s">
        <v>72</v>
      </c>
      <c r="F16" s="111">
        <f>F15+G15/1000*$I$5+H15/1000*$J$5</f>
        <v>972.8401132000001</v>
      </c>
      <c r="G16" s="110"/>
      <c r="H16" s="114"/>
    </row>
    <row r="19" ht="12.75">
      <c r="A19" s="119" t="s">
        <v>155</v>
      </c>
    </row>
    <row r="20" ht="12.75">
      <c r="A20" t="s">
        <v>156</v>
      </c>
    </row>
    <row r="21" ht="12.75">
      <c r="A21" t="s">
        <v>157</v>
      </c>
    </row>
  </sheetData>
  <mergeCells count="3">
    <mergeCell ref="B8:C8"/>
    <mergeCell ref="E4:G4"/>
    <mergeCell ref="D8:E8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C22" sqref="C22"/>
    </sheetView>
  </sheetViews>
  <sheetFormatPr defaultColWidth="9.140625" defaultRowHeight="12.75"/>
  <cols>
    <col min="1" max="1" width="30.140625" style="0" customWidth="1"/>
    <col min="2" max="2" width="9.00390625" style="0" customWidth="1"/>
    <col min="3" max="3" width="11.7109375" style="0" customWidth="1"/>
    <col min="4" max="4" width="6.57421875" style="0" customWidth="1"/>
    <col min="5" max="5" width="10.57421875" style="0" customWidth="1"/>
    <col min="6" max="6" width="10.28125" style="0" customWidth="1"/>
    <col min="7" max="7" width="10.7109375" style="0" customWidth="1"/>
    <col min="8" max="8" width="10.28125" style="0" customWidth="1"/>
    <col min="9" max="9" width="10.7109375" style="0" customWidth="1"/>
    <col min="10" max="10" width="10.28125" style="0" customWidth="1"/>
  </cols>
  <sheetData>
    <row r="1" ht="12.75">
      <c r="A1" s="1" t="s">
        <v>148</v>
      </c>
    </row>
    <row r="2" ht="12.75">
      <c r="A2" s="1" t="s">
        <v>135</v>
      </c>
    </row>
    <row r="3" ht="12.75">
      <c r="D3" s="8"/>
    </row>
    <row r="4" spans="1:10" ht="12.75">
      <c r="A4" s="126" t="s">
        <v>112</v>
      </c>
      <c r="B4" s="17"/>
      <c r="C4" s="17"/>
      <c r="D4" s="17"/>
      <c r="E4" s="17"/>
      <c r="F4" s="17"/>
      <c r="G4" s="17"/>
      <c r="H4" s="128" t="s">
        <v>115</v>
      </c>
      <c r="I4" s="129"/>
      <c r="J4" s="17"/>
    </row>
    <row r="5" spans="1:10" ht="12.75">
      <c r="A5" s="127" t="s">
        <v>113</v>
      </c>
      <c r="B5" s="20">
        <v>8.79</v>
      </c>
      <c r="C5" s="17" t="s">
        <v>114</v>
      </c>
      <c r="D5" s="17"/>
      <c r="E5" s="17"/>
      <c r="F5" s="17"/>
      <c r="G5" s="17"/>
      <c r="H5" s="15" t="s">
        <v>110</v>
      </c>
      <c r="I5" s="15" t="s">
        <v>111</v>
      </c>
      <c r="J5" s="17"/>
    </row>
    <row r="6" spans="1:10" ht="12.75">
      <c r="A6" s="17" t="s">
        <v>116</v>
      </c>
      <c r="B6" s="130">
        <v>10.08</v>
      </c>
      <c r="C6" s="17" t="s">
        <v>114</v>
      </c>
      <c r="D6" s="17"/>
      <c r="E6" s="17"/>
      <c r="F6" s="17"/>
      <c r="G6" s="17"/>
      <c r="H6" s="15">
        <v>21</v>
      </c>
      <c r="I6" s="15">
        <v>310</v>
      </c>
      <c r="J6" s="17"/>
    </row>
    <row r="7" spans="1:10" ht="12.75">
      <c r="A7" s="17"/>
      <c r="B7" s="131"/>
      <c r="C7" s="17"/>
      <c r="D7" s="17"/>
      <c r="E7" s="17"/>
      <c r="F7" s="17"/>
      <c r="G7" s="17"/>
      <c r="H7" s="17"/>
      <c r="I7" s="17"/>
      <c r="J7" s="17"/>
    </row>
    <row r="8" spans="1:10" s="9" customFormat="1" ht="48">
      <c r="A8" s="14" t="s">
        <v>128</v>
      </c>
      <c r="B8" s="14" t="s">
        <v>76</v>
      </c>
      <c r="C8" s="14" t="s">
        <v>129</v>
      </c>
      <c r="D8" s="13" t="s">
        <v>117</v>
      </c>
      <c r="E8" s="13" t="s">
        <v>130</v>
      </c>
      <c r="F8" s="14" t="s">
        <v>118</v>
      </c>
      <c r="G8" s="13" t="s">
        <v>119</v>
      </c>
      <c r="H8" s="13" t="s">
        <v>73</v>
      </c>
      <c r="I8" s="13" t="s">
        <v>120</v>
      </c>
      <c r="J8" s="14" t="s">
        <v>74</v>
      </c>
    </row>
    <row r="9" spans="1:10" ht="12.75">
      <c r="A9" s="122" t="s">
        <v>159</v>
      </c>
      <c r="B9" s="17">
        <v>1995</v>
      </c>
      <c r="C9" s="132">
        <f>E9*D9</f>
        <v>16758</v>
      </c>
      <c r="D9" s="122">
        <v>21</v>
      </c>
      <c r="E9" s="132">
        <v>798</v>
      </c>
      <c r="F9" s="16">
        <f>E9*$B$5/1000</f>
        <v>7.014419999999999</v>
      </c>
      <c r="G9" s="17">
        <v>0.0676</v>
      </c>
      <c r="H9" s="133">
        <f>$C9*G9/1000</f>
        <v>1.1328407999999999</v>
      </c>
      <c r="I9" s="17">
        <v>0.0668</v>
      </c>
      <c r="J9" s="133">
        <f>$C9*I9/1000</f>
        <v>1.1194343999999998</v>
      </c>
    </row>
    <row r="10" spans="1:10" ht="12.75">
      <c r="A10" s="122" t="s">
        <v>160</v>
      </c>
      <c r="B10" s="17">
        <v>1997</v>
      </c>
      <c r="C10" s="16">
        <v>300</v>
      </c>
      <c r="D10" s="122">
        <v>15</v>
      </c>
      <c r="E10" s="132">
        <f>C10/D10</f>
        <v>20</v>
      </c>
      <c r="F10" s="133">
        <f>E10*$B$5/1000</f>
        <v>0.17579999999999998</v>
      </c>
      <c r="G10" s="17">
        <v>0.0563</v>
      </c>
      <c r="H10" s="133">
        <f>$C10*G10/1000</f>
        <v>0.016890000000000002</v>
      </c>
      <c r="I10" s="17">
        <v>0.058</v>
      </c>
      <c r="J10" s="133">
        <f>$C10*I10/1000</f>
        <v>0.017400000000000002</v>
      </c>
    </row>
    <row r="11" spans="1:10" ht="12.75">
      <c r="A11" s="134" t="s">
        <v>138</v>
      </c>
      <c r="B11" s="135"/>
      <c r="C11" s="136">
        <f>SUM(C9:C10)</f>
        <v>17058</v>
      </c>
      <c r="D11" s="137">
        <f>C11/E11</f>
        <v>20.853300733496333</v>
      </c>
      <c r="E11" s="140">
        <f>SUM(E9:E10)</f>
        <v>818</v>
      </c>
      <c r="F11" s="136">
        <f>SUM(F9:F10)</f>
        <v>7.190219999999999</v>
      </c>
      <c r="G11" s="137"/>
      <c r="H11" s="138">
        <f>SUM(H9:H10)</f>
        <v>1.1497308</v>
      </c>
      <c r="I11" s="137"/>
      <c r="J11" s="138">
        <f>SUM(J9:J10)</f>
        <v>1.1368344</v>
      </c>
    </row>
    <row r="12" spans="1:10" ht="12.75">
      <c r="A12" s="17"/>
      <c r="B12" s="17"/>
      <c r="C12" s="16"/>
      <c r="D12" s="17"/>
      <c r="E12" s="141" t="s">
        <v>72</v>
      </c>
      <c r="F12" s="139">
        <f>F11+H11/1000*$H$6+J11/1000*$I$6</f>
        <v>7.566783010799999</v>
      </c>
      <c r="G12" s="17"/>
      <c r="H12" s="17"/>
      <c r="I12" s="17"/>
      <c r="J12" s="17"/>
    </row>
    <row r="13" spans="1:10" ht="12.75">
      <c r="A13" s="17"/>
      <c r="B13" s="17"/>
      <c r="C13" s="16"/>
      <c r="D13" s="17"/>
      <c r="E13" s="141"/>
      <c r="F13" s="139"/>
      <c r="G13" s="17"/>
      <c r="H13" s="17"/>
      <c r="I13" s="17"/>
      <c r="J13" s="17"/>
    </row>
    <row r="14" spans="3:6" ht="12.75">
      <c r="C14" s="6"/>
      <c r="E14" s="118"/>
      <c r="F14" s="50"/>
    </row>
    <row r="15" ht="12.75">
      <c r="E15" s="49"/>
    </row>
  </sheetData>
  <printOptions/>
  <pageMargins left="0.25" right="0.25" top="1" bottom="1" header="0.5" footer="0.5"/>
  <pageSetup horizontalDpi="300" verticalDpi="3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H31" sqref="H31"/>
    </sheetView>
  </sheetViews>
  <sheetFormatPr defaultColWidth="9.140625" defaultRowHeight="12.75"/>
  <cols>
    <col min="1" max="1" width="3.28125" style="0" customWidth="1"/>
    <col min="2" max="2" width="23.57421875" style="0" customWidth="1"/>
    <col min="3" max="5" width="7.421875" style="0" customWidth="1"/>
    <col min="9" max="9" width="11.140625" style="0" customWidth="1"/>
    <col min="10" max="11" width="11.140625" style="0" bestFit="1" customWidth="1"/>
  </cols>
  <sheetData>
    <row r="1" spans="1:16" ht="12.75">
      <c r="A1" s="2" t="s">
        <v>22</v>
      </c>
      <c r="B1" s="2"/>
      <c r="C1" s="3"/>
      <c r="D1" s="3"/>
      <c r="E1" s="3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2.75">
      <c r="A2" s="2" t="s">
        <v>23</v>
      </c>
      <c r="B2" s="2"/>
      <c r="C2" s="3"/>
      <c r="D2" s="3"/>
      <c r="E2" s="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40.5">
      <c r="A3" s="12" t="s">
        <v>24</v>
      </c>
      <c r="B3" s="4"/>
      <c r="C3" s="35" t="s">
        <v>97</v>
      </c>
      <c r="D3" s="35" t="s">
        <v>98</v>
      </c>
      <c r="E3" s="35" t="s">
        <v>99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2.75">
      <c r="A4" s="5">
        <v>1</v>
      </c>
      <c r="B4" s="5" t="s">
        <v>11</v>
      </c>
      <c r="C4" s="10">
        <v>897.11</v>
      </c>
      <c r="D4" s="36">
        <v>0.0766</v>
      </c>
      <c r="E4" s="36">
        <v>0.0159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2.75">
      <c r="A5" s="5">
        <v>2</v>
      </c>
      <c r="B5" s="5" t="s">
        <v>12</v>
      </c>
      <c r="C5" s="10">
        <v>1090.13</v>
      </c>
      <c r="D5" s="36">
        <v>0.0343</v>
      </c>
      <c r="E5" s="36">
        <v>0.005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2.75">
      <c r="A6" s="5">
        <v>3</v>
      </c>
      <c r="B6" s="5" t="s">
        <v>13</v>
      </c>
      <c r="C6" s="10">
        <v>1659.76</v>
      </c>
      <c r="D6" s="36">
        <v>0.0915</v>
      </c>
      <c r="E6" s="36">
        <v>0.0143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5">
        <v>4</v>
      </c>
      <c r="B7" s="5" t="s">
        <v>14</v>
      </c>
      <c r="C7" s="10">
        <v>843.04</v>
      </c>
      <c r="D7" s="36">
        <v>0.0228</v>
      </c>
      <c r="E7" s="36">
        <v>0.0107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.75">
      <c r="A8" s="5">
        <v>5</v>
      </c>
      <c r="B8" s="5" t="s">
        <v>15</v>
      </c>
      <c r="C8" s="10">
        <v>1097.55</v>
      </c>
      <c r="D8" s="36">
        <v>0.0241</v>
      </c>
      <c r="E8" s="36">
        <v>0.0162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>
      <c r="A9" s="5">
        <v>6</v>
      </c>
      <c r="B9" s="5" t="s">
        <v>16</v>
      </c>
      <c r="C9" s="10">
        <v>1164.19</v>
      </c>
      <c r="D9" s="36">
        <v>0.0276</v>
      </c>
      <c r="E9" s="36">
        <v>0.019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5">
        <v>7</v>
      </c>
      <c r="B10" s="5" t="s">
        <v>17</v>
      </c>
      <c r="C10" s="10">
        <v>1372.7</v>
      </c>
      <c r="D10" s="36">
        <v>0.0223</v>
      </c>
      <c r="E10" s="36">
        <v>0.0215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>
      <c r="A11" s="5">
        <v>8</v>
      </c>
      <c r="B11" s="5" t="s">
        <v>18</v>
      </c>
      <c r="C11" s="10">
        <v>1331.34</v>
      </c>
      <c r="D11" s="36">
        <v>0.0335</v>
      </c>
      <c r="E11" s="36">
        <v>0.0142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5">
        <v>9</v>
      </c>
      <c r="B12" s="5" t="s">
        <v>19</v>
      </c>
      <c r="C12" s="10">
        <v>1561.51</v>
      </c>
      <c r="D12" s="36">
        <v>0.0451</v>
      </c>
      <c r="E12" s="36">
        <v>0.0263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5">
        <v>10</v>
      </c>
      <c r="B13" s="5" t="s">
        <v>20</v>
      </c>
      <c r="C13" s="10">
        <v>1390.04</v>
      </c>
      <c r="D13" s="36">
        <v>0.0439</v>
      </c>
      <c r="E13" s="36">
        <v>0.0171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 s="5">
        <v>11</v>
      </c>
      <c r="B14" s="5" t="s">
        <v>21</v>
      </c>
      <c r="C14" s="10">
        <v>1632.06</v>
      </c>
      <c r="D14" s="36">
        <v>0.0338</v>
      </c>
      <c r="E14" s="36">
        <v>0.0243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2.75">
      <c r="A15" s="5">
        <v>12</v>
      </c>
      <c r="B15" s="5" t="s">
        <v>25</v>
      </c>
      <c r="C15" s="10">
        <v>1966.53</v>
      </c>
      <c r="D15" s="36">
        <v>0.023</v>
      </c>
      <c r="E15" s="36">
        <v>0.0296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5">
        <v>13</v>
      </c>
      <c r="B16" s="5" t="s">
        <v>26</v>
      </c>
      <c r="C16" s="10">
        <v>1761.09</v>
      </c>
      <c r="D16" s="36">
        <v>0.0331</v>
      </c>
      <c r="E16" s="36">
        <v>0.0276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.75">
      <c r="A17" s="5">
        <v>14</v>
      </c>
      <c r="B17" s="5" t="s">
        <v>27</v>
      </c>
      <c r="C17" s="10">
        <v>1237.29</v>
      </c>
      <c r="D17" s="36">
        <v>0.0144</v>
      </c>
      <c r="E17" s="36">
        <v>0.0181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5">
        <v>15</v>
      </c>
      <c r="B18" s="5" t="s">
        <v>28</v>
      </c>
      <c r="C18" s="10">
        <v>1838.83</v>
      </c>
      <c r="D18" s="36">
        <v>0.0268</v>
      </c>
      <c r="E18" s="36">
        <v>0.0279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>
      <c r="A19" s="5">
        <v>16</v>
      </c>
      <c r="B19" s="5" t="s">
        <v>29</v>
      </c>
      <c r="C19" s="10">
        <v>2011.15</v>
      </c>
      <c r="D19" s="36">
        <v>0.0225</v>
      </c>
      <c r="E19" s="36">
        <v>0.0278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.75">
      <c r="A20" s="5">
        <v>17</v>
      </c>
      <c r="B20" s="5" t="s">
        <v>30</v>
      </c>
      <c r="C20" s="10">
        <v>1936.65</v>
      </c>
      <c r="D20" s="36">
        <v>0.0328</v>
      </c>
      <c r="E20" s="36">
        <v>0.0244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5">
        <v>18</v>
      </c>
      <c r="B21" s="5" t="s">
        <v>31</v>
      </c>
      <c r="C21" s="10">
        <v>1408.27</v>
      </c>
      <c r="D21" s="36">
        <v>0.0207</v>
      </c>
      <c r="E21" s="36">
        <v>0.0134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5">
        <v>19</v>
      </c>
      <c r="B22" s="5" t="s">
        <v>32</v>
      </c>
      <c r="C22" s="10">
        <v>1872.51</v>
      </c>
      <c r="D22" s="36">
        <v>0.0211</v>
      </c>
      <c r="E22" s="36">
        <v>0.0263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5">
        <v>20</v>
      </c>
      <c r="B23" s="5" t="s">
        <v>61</v>
      </c>
      <c r="C23" s="10">
        <v>1423.95</v>
      </c>
      <c r="D23" s="36">
        <v>0.0169</v>
      </c>
      <c r="E23" s="36">
        <v>0.0188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5">
        <v>21</v>
      </c>
      <c r="B24" s="5" t="s">
        <v>62</v>
      </c>
      <c r="C24" s="10">
        <v>852.31</v>
      </c>
      <c r="D24" s="36">
        <v>0.0121</v>
      </c>
      <c r="E24" s="36">
        <v>0.0123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5">
        <v>22</v>
      </c>
      <c r="B25" s="5" t="s">
        <v>63</v>
      </c>
      <c r="C25" s="10">
        <v>671.04</v>
      </c>
      <c r="D25" s="36">
        <v>0.0222</v>
      </c>
      <c r="E25" s="36">
        <v>0.0099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2.75">
      <c r="A26" s="5">
        <v>23</v>
      </c>
      <c r="B26" s="5" t="s">
        <v>64</v>
      </c>
      <c r="C26" s="10">
        <v>804.54</v>
      </c>
      <c r="D26" s="36">
        <v>0.0305</v>
      </c>
      <c r="E26" s="36">
        <v>0.0073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2.75">
      <c r="A27" s="5">
        <v>24</v>
      </c>
      <c r="B27" s="5" t="s">
        <v>65</v>
      </c>
      <c r="C27" s="10">
        <v>1702.93</v>
      </c>
      <c r="D27" s="36">
        <v>0.1121</v>
      </c>
      <c r="E27" s="36">
        <v>0.0204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2.75">
      <c r="A28" s="5">
        <v>25</v>
      </c>
      <c r="B28" s="5" t="s">
        <v>66</v>
      </c>
      <c r="C28" s="10">
        <v>1721.69</v>
      </c>
      <c r="D28" s="36">
        <v>0.0733</v>
      </c>
      <c r="E28" s="36">
        <v>0.0183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2.75">
      <c r="A29" s="5">
        <v>26</v>
      </c>
      <c r="B29" s="5" t="s">
        <v>67</v>
      </c>
      <c r="C29" s="10">
        <v>757.81</v>
      </c>
      <c r="D29" s="36">
        <v>0.023</v>
      </c>
      <c r="E29" s="36">
        <v>0.0039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2.75">
      <c r="A30" s="5">
        <v>27</v>
      </c>
      <c r="B30" s="5" t="s">
        <v>68</v>
      </c>
      <c r="C30" s="10">
        <v>1399.95</v>
      </c>
      <c r="D30" s="36">
        <v>0.0264</v>
      </c>
      <c r="E30" s="36">
        <v>0.0079</v>
      </c>
      <c r="F30" s="11"/>
      <c r="G30" s="37"/>
      <c r="H30" s="39" t="s">
        <v>121</v>
      </c>
      <c r="I30" s="39" t="s">
        <v>122</v>
      </c>
      <c r="J30" s="39" t="s">
        <v>123</v>
      </c>
      <c r="K30" s="39" t="s">
        <v>124</v>
      </c>
      <c r="L30" s="11"/>
      <c r="M30" s="11"/>
      <c r="N30" s="11"/>
      <c r="O30" s="11"/>
      <c r="P30" s="11"/>
    </row>
    <row r="31" spans="1:16" ht="12.75">
      <c r="A31" s="5"/>
      <c r="B31" s="5" t="s">
        <v>100</v>
      </c>
      <c r="C31" s="10">
        <v>1706.71</v>
      </c>
      <c r="D31" s="36">
        <v>0.0309</v>
      </c>
      <c r="E31" s="36">
        <v>0.0031</v>
      </c>
      <c r="F31" s="11"/>
      <c r="G31" s="38" t="s">
        <v>125</v>
      </c>
      <c r="H31" s="39">
        <v>0.759</v>
      </c>
      <c r="I31" s="39">
        <f>ROUND(H31*2205,0)</f>
        <v>1674</v>
      </c>
      <c r="J31" s="40">
        <f>D27</f>
        <v>0.1121</v>
      </c>
      <c r="K31" s="40">
        <f>E27</f>
        <v>0.0204</v>
      </c>
      <c r="L31" s="11"/>
      <c r="M31" s="11"/>
      <c r="N31" s="11"/>
      <c r="O31" s="11"/>
      <c r="P31" s="11"/>
    </row>
    <row r="32" spans="1:16" ht="12.75">
      <c r="A32" s="3"/>
      <c r="B32" s="3" t="s">
        <v>101</v>
      </c>
      <c r="C32" s="10">
        <v>1392.49</v>
      </c>
      <c r="D32" s="36">
        <v>0.0284</v>
      </c>
      <c r="E32" s="36">
        <v>0.0194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Christensen</cp:lastModifiedBy>
  <cp:lastPrinted>2004-01-30T21:29:15Z</cp:lastPrinted>
  <dcterms:created xsi:type="dcterms:W3CDTF">2003-02-27T15:36:38Z</dcterms:created>
  <dcterms:modified xsi:type="dcterms:W3CDTF">2007-03-13T16:20:00Z</dcterms:modified>
  <cp:category/>
  <cp:version/>
  <cp:contentType/>
  <cp:contentStatus/>
</cp:coreProperties>
</file>